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codeName="ThisWorkbook"/>
  <mc:AlternateContent xmlns:mc="http://schemas.openxmlformats.org/markup-compatibility/2006">
    <mc:Choice Requires="x15">
      <x15ac:absPath xmlns:x15ac="http://schemas.microsoft.com/office/spreadsheetml/2010/11/ac" url="D:\กองช่าง 67\เงินอุดหนุน 67\ราคากลาง\"/>
    </mc:Choice>
  </mc:AlternateContent>
  <xr:revisionPtr revIDLastSave="0" documentId="13_ncr:1_{E5FDAE77-5EF5-4BB5-92DE-7CFC5E9C7E8C}" xr6:coauthVersionLast="43" xr6:coauthVersionMax="43" xr10:uidLastSave="{00000000-0000-0000-0000-000000000000}"/>
  <bookViews>
    <workbookView xWindow="-120" yWindow="-120" windowWidth="20730" windowHeight="11160" tabRatio="846" activeTab="4" xr2:uid="{00000000-000D-0000-FFFF-FFFF00000000}"/>
  </bookViews>
  <sheets>
    <sheet name="S2" sheetId="15" r:id="rId1"/>
    <sheet name="S2-2" sheetId="33" r:id="rId2"/>
    <sheet name="S3" sheetId="14" r:id="rId3"/>
    <sheet name="ขนาดท่อ" sheetId="49" state="hidden" r:id="rId4"/>
    <sheet name="1.ข้อมูล" sheetId="11" r:id="rId5"/>
    <sheet name="2.รายการคำนวณ" sheetId="37" state="hidden" r:id="rId6"/>
    <sheet name="คิดปริมาณ" sheetId="36" state="hidden" r:id="rId7"/>
    <sheet name="Sheet3" sheetId="45" r:id="rId8"/>
    <sheet name="3.ปร.4 (2)" sheetId="58" r:id="rId9"/>
    <sheet name="6.แบบ Pavement " sheetId="35" state="hidden" r:id="rId10"/>
    <sheet name="Sheet1" sheetId="38" state="hidden" r:id="rId11"/>
    <sheet name="4.ปร.5  (2)" sheetId="59" r:id="rId12"/>
    <sheet name="บัญชีข้อมูล" sheetId="63" r:id="rId13"/>
    <sheet name="แบบสรุปราคากลาง ปร.6" sheetId="61" r:id="rId14"/>
    <sheet name="ค่างานต้นทุน" sheetId="40" state="hidden" r:id="rId15"/>
    <sheet name="ราง" sheetId="48" state="hidden" r:id="rId16"/>
    <sheet name="ราคาวัสดุ" sheetId="52" state="hidden" r:id="rId17"/>
    <sheet name="รางระบายน้ำ" sheetId="51" state="hidden" r:id="rId18"/>
    <sheet name="บ่อพัก" sheetId="53" state="hidden" r:id="rId19"/>
    <sheet name="Sheet2" sheetId="47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cc">[1]ค่างานต้นทุน!$H$437</definedName>
    <definedName name="cs">[1]ค่างานต้นทุน!$H$113</definedName>
    <definedName name="D" localSheetId="11">#REF!</definedName>
    <definedName name="D" localSheetId="19">#REF!</definedName>
    <definedName name="D" localSheetId="15">#REF!</definedName>
    <definedName name="Data" localSheetId="11">#REF!</definedName>
    <definedName name="Data" localSheetId="15">#REF!</definedName>
    <definedName name="_xlnm.Database" localSheetId="8">#REF!</definedName>
    <definedName name="_xlnm.Database" localSheetId="11">#REF!</definedName>
    <definedName name="_xlnm.Database">#REF!</definedName>
    <definedName name="l" localSheetId="11">#REF!</definedName>
    <definedName name="l" localSheetId="15">#REF!</definedName>
    <definedName name="oil" localSheetId="19">[2]Oil!$B$5:$G$1006</definedName>
    <definedName name="oil" localSheetId="15">[2]Oil!$B$5:$G$1006</definedName>
    <definedName name="oil">[3]Oil!$B$5:$G$1006</definedName>
    <definedName name="P" localSheetId="11">#REF!</definedName>
    <definedName name="P" localSheetId="15">#REF!</definedName>
    <definedName name="pipe100">[1]ค่างานต้นทุน!$H$166</definedName>
    <definedName name="pipe120">[1]ค่างานต้นทุน!$H$174</definedName>
    <definedName name="pipe150">[1]ค่างานต้นทุน!$H$182</definedName>
    <definedName name="pipe40">[1]ค่างานต้นทุน!$H$142</definedName>
    <definedName name="pipe60">[1]ค่างานต้นทุน!$H$150</definedName>
    <definedName name="pipe80">[1]ค่างานต้นทุน!$H$158</definedName>
    <definedName name="_xlnm.Print_Area" localSheetId="4">'1.ข้อมูล'!$A$1:$X$164</definedName>
    <definedName name="_xlnm.Print_Area" localSheetId="5">'2.รายการคำนวณ'!$A$1:$M$57</definedName>
    <definedName name="_xlnm.Print_Area" localSheetId="8">'3.ปร.4 (2)'!$A$1:$N$148</definedName>
    <definedName name="_xlnm.Print_Area" localSheetId="11">'4.ปร.5  (2)'!$A$1:$L$39</definedName>
    <definedName name="_xlnm.Print_Area" localSheetId="9">'6.แบบ Pavement '!$A$1:$W$164</definedName>
    <definedName name="_xlnm.Print_Area" localSheetId="19">Sheet2!$A$1:$W$41</definedName>
    <definedName name="_xlnm.Print_Area" localSheetId="7">Sheet3!$A$1:$AD$40</definedName>
    <definedName name="_xlnm.Print_Area" localSheetId="14">ค่างานต้นทุน!$A$1:$L$468</definedName>
    <definedName name="_xlnm.Print_Area" localSheetId="6">คิดปริมาณ!$A$1:$Z$35</definedName>
    <definedName name="_xlnm.Print_Area" localSheetId="18">บ่อพัก!$A$1:$H$36</definedName>
    <definedName name="_xlnm.Print_Area" localSheetId="15">ราง!$A$1:$W$41</definedName>
    <definedName name="_xlnm.Print_Area" localSheetId="17">รางระบายน้ำ!$A$1:$N$60</definedName>
    <definedName name="TCO">[1]ค่างานต้นทุน!$H$95</definedName>
    <definedName name="ค2" localSheetId="11">#REF!</definedName>
    <definedName name="ค2" localSheetId="15">#REF!</definedName>
    <definedName name="ค2" localSheetId="17">[4]ข้อมูล!$L$151</definedName>
    <definedName name="ต47_ต48">[1]ค่างานต้นทุน!$H$258</definedName>
    <definedName name="น1">[1]ค่างานต้นทุน!$H$289</definedName>
    <definedName name="น2">[1]ค่างานต้นทุน!$H$294</definedName>
    <definedName name="น3">[1]ค่างานต้นทุน!$H$302</definedName>
    <definedName name="น4">[1]ค่างานต้นทุน!$H$307</definedName>
    <definedName name="น5">[1]ค่างานต้นทุน!$H$312</definedName>
    <definedName name="บ_ต">[1]ค่างานต้นทุน!$H$284</definedName>
    <definedName name="บ1">[1]ค่างานต้นทุน!$H$238</definedName>
    <definedName name="บ2">[1]ค่างานต้นทุน!$H$243</definedName>
    <definedName name="บ3_บ36">[1]ค่างานต้นทุน!$H$248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61" l="1"/>
  <c r="B10" i="61"/>
  <c r="B9" i="61"/>
  <c r="E10" i="61"/>
  <c r="H10" i="61" s="1"/>
  <c r="D10" i="61"/>
  <c r="F10" i="61" s="1"/>
  <c r="I10" i="61" s="1"/>
  <c r="E9" i="61"/>
  <c r="D9" i="61"/>
  <c r="F9" i="61" l="1"/>
  <c r="I9" i="61" s="1"/>
  <c r="H9" i="61"/>
  <c r="F15" i="61"/>
  <c r="F16" i="61"/>
  <c r="F18" i="61"/>
  <c r="F13" i="61"/>
  <c r="I11" i="61"/>
  <c r="G23" i="58" l="1"/>
  <c r="F21" i="63"/>
  <c r="F22" i="63"/>
  <c r="F23" i="63" s="1"/>
  <c r="F24" i="63" s="1"/>
  <c r="F25" i="63" s="1"/>
  <c r="F20" i="63"/>
  <c r="F17" i="63"/>
  <c r="F18" i="63" s="1"/>
  <c r="F16" i="63"/>
  <c r="K22" i="11"/>
  <c r="E19" i="61"/>
  <c r="B19" i="61"/>
  <c r="A65" i="58" l="1"/>
  <c r="D9" i="59"/>
  <c r="J134" i="58"/>
  <c r="H134" i="58"/>
  <c r="I134" i="58" s="1"/>
  <c r="G134" i="58"/>
  <c r="F134" i="58"/>
  <c r="J132" i="58"/>
  <c r="H132" i="58"/>
  <c r="K132" i="58" s="1"/>
  <c r="L132" i="58" s="1"/>
  <c r="G132" i="58"/>
  <c r="F132" i="58"/>
  <c r="J131" i="58"/>
  <c r="I131" i="58"/>
  <c r="H131" i="58"/>
  <c r="K131" i="58" s="1"/>
  <c r="L131" i="58" s="1"/>
  <c r="G131" i="58"/>
  <c r="F131" i="58"/>
  <c r="J130" i="58"/>
  <c r="H130" i="58"/>
  <c r="K130" i="58" s="1"/>
  <c r="L130" i="58" s="1"/>
  <c r="G130" i="58"/>
  <c r="F130" i="58"/>
  <c r="J129" i="58"/>
  <c r="G129" i="58"/>
  <c r="H129" i="58" s="1"/>
  <c r="J128" i="58"/>
  <c r="G128" i="58"/>
  <c r="H128" i="58" s="1"/>
  <c r="J127" i="58"/>
  <c r="G127" i="58"/>
  <c r="H127" i="58" s="1"/>
  <c r="J126" i="58"/>
  <c r="G126" i="58"/>
  <c r="H126" i="58" s="1"/>
  <c r="H125" i="58"/>
  <c r="I125" i="58" s="1"/>
  <c r="H124" i="58"/>
  <c r="I124" i="58" s="1"/>
  <c r="G124" i="58"/>
  <c r="K125" i="58" l="1"/>
  <c r="L125" i="58" s="1"/>
  <c r="I127" i="58"/>
  <c r="K127" i="58"/>
  <c r="L127" i="58" s="1"/>
  <c r="K128" i="58"/>
  <c r="L128" i="58" s="1"/>
  <c r="I128" i="58"/>
  <c r="K126" i="58"/>
  <c r="L126" i="58" s="1"/>
  <c r="I126" i="58"/>
  <c r="I129" i="58"/>
  <c r="K129" i="58"/>
  <c r="L129" i="58" s="1"/>
  <c r="I132" i="58"/>
  <c r="K134" i="58"/>
  <c r="L134" i="58" s="1"/>
  <c r="I130" i="58"/>
  <c r="K124" i="58"/>
  <c r="L124" i="58" s="1"/>
  <c r="I136" i="58" l="1"/>
  <c r="L136" i="58"/>
  <c r="J23" i="58" l="1"/>
  <c r="C68" i="58"/>
  <c r="D2" i="45"/>
  <c r="J46" i="58"/>
  <c r="J28" i="58"/>
  <c r="D28" i="58"/>
  <c r="C70" i="58" l="1"/>
  <c r="C69" i="58"/>
  <c r="C67" i="58"/>
  <c r="R6" i="45"/>
  <c r="S6" i="45" l="1"/>
  <c r="J61" i="58"/>
  <c r="H61" i="58"/>
  <c r="G61" i="58"/>
  <c r="F61" i="58"/>
  <c r="J77" i="58"/>
  <c r="H77" i="58"/>
  <c r="I77" i="58" s="1"/>
  <c r="G77" i="58"/>
  <c r="F77" i="58"/>
  <c r="J76" i="58"/>
  <c r="H76" i="58"/>
  <c r="G76" i="58"/>
  <c r="F76" i="58"/>
  <c r="J75" i="58"/>
  <c r="H75" i="58"/>
  <c r="I75" i="58" s="1"/>
  <c r="G75" i="58"/>
  <c r="F75" i="58"/>
  <c r="J78" i="58"/>
  <c r="H78" i="58"/>
  <c r="G78" i="58"/>
  <c r="F78" i="58"/>
  <c r="L76" i="58" l="1"/>
  <c r="L78" i="58"/>
  <c r="L75" i="58"/>
  <c r="L61" i="58"/>
  <c r="I61" i="58"/>
  <c r="K61" i="58"/>
  <c r="L77" i="58"/>
  <c r="K75" i="58"/>
  <c r="K77" i="58"/>
  <c r="I76" i="58"/>
  <c r="K76" i="58"/>
  <c r="I78" i="58"/>
  <c r="K78" i="58"/>
  <c r="I10" i="63"/>
  <c r="I9" i="63"/>
  <c r="I18" i="63"/>
  <c r="I26" i="63"/>
  <c r="I25" i="63"/>
  <c r="I24" i="63"/>
  <c r="I12" i="63"/>
  <c r="I15" i="63"/>
  <c r="I16" i="63"/>
  <c r="I17" i="63"/>
  <c r="I14" i="63"/>
  <c r="I19" i="63"/>
  <c r="I20" i="63"/>
  <c r="I21" i="63"/>
  <c r="I22" i="63"/>
  <c r="I23" i="63"/>
  <c r="I13" i="63"/>
  <c r="G28" i="58" l="1"/>
  <c r="K76" i="11"/>
  <c r="F16" i="11" l="1"/>
  <c r="F15" i="11"/>
  <c r="F14" i="11"/>
  <c r="F13" i="11"/>
  <c r="J31" i="58"/>
  <c r="J14" i="58"/>
  <c r="J15" i="58"/>
  <c r="J16" i="58"/>
  <c r="J17" i="58"/>
  <c r="J18" i="58"/>
  <c r="J19" i="58"/>
  <c r="J20" i="58"/>
  <c r="J21" i="58"/>
  <c r="J24" i="58"/>
  <c r="J26" i="58"/>
  <c r="J83" i="58"/>
  <c r="J84" i="58"/>
  <c r="J59" i="58"/>
  <c r="J60" i="58"/>
  <c r="H60" i="58"/>
  <c r="G60" i="58"/>
  <c r="F47" i="58"/>
  <c r="G26" i="58"/>
  <c r="H26" i="58"/>
  <c r="I26" i="58" s="1"/>
  <c r="K99" i="11"/>
  <c r="D97" i="11"/>
  <c r="K97" i="11"/>
  <c r="K95" i="11"/>
  <c r="K21" i="11"/>
  <c r="I21" i="11"/>
  <c r="F25" i="11"/>
  <c r="F24" i="11"/>
  <c r="F23" i="11"/>
  <c r="F22" i="11"/>
  <c r="U48" i="11"/>
  <c r="T38" i="11"/>
  <c r="W38" i="11"/>
  <c r="T30" i="11"/>
  <c r="T25" i="11"/>
  <c r="L60" i="58" l="1"/>
  <c r="K60" i="58"/>
  <c r="F60" i="58"/>
  <c r="I60" i="58"/>
  <c r="K26" i="58"/>
  <c r="F24" i="58" l="1"/>
  <c r="G24" i="58"/>
  <c r="H24" i="58"/>
  <c r="I24" i="58" s="1"/>
  <c r="R21" i="59"/>
  <c r="P21" i="59"/>
  <c r="AB5" i="45" l="1"/>
  <c r="J82" i="58" l="1"/>
  <c r="H82" i="58"/>
  <c r="I82" i="58" s="1"/>
  <c r="G82" i="58"/>
  <c r="F82" i="58"/>
  <c r="J81" i="58"/>
  <c r="H81" i="58"/>
  <c r="I81" i="58" s="1"/>
  <c r="G81" i="58"/>
  <c r="F81" i="58"/>
  <c r="J80" i="58"/>
  <c r="H80" i="58"/>
  <c r="G80" i="58"/>
  <c r="F80" i="58"/>
  <c r="J79" i="58"/>
  <c r="H79" i="58"/>
  <c r="G79" i="58"/>
  <c r="F79" i="58"/>
  <c r="L79" i="58" l="1"/>
  <c r="L82" i="58"/>
  <c r="L80" i="58"/>
  <c r="I80" i="58"/>
  <c r="K82" i="58"/>
  <c r="I79" i="58"/>
  <c r="K81" i="58"/>
  <c r="K80" i="58"/>
  <c r="L81" i="58"/>
  <c r="K79" i="58"/>
  <c r="T41" i="47"/>
  <c r="M41" i="47"/>
  <c r="M36" i="47"/>
  <c r="H25" i="53"/>
  <c r="G25" i="53"/>
  <c r="G24" i="53"/>
  <c r="H24" i="53" s="1"/>
  <c r="H23" i="53"/>
  <c r="G23" i="53"/>
  <c r="E23" i="53"/>
  <c r="C22" i="53"/>
  <c r="F20" i="53"/>
  <c r="G20" i="53" s="1"/>
  <c r="H20" i="53" s="1"/>
  <c r="E17" i="53"/>
  <c r="G16" i="53"/>
  <c r="H16" i="53" s="1"/>
  <c r="F16" i="53"/>
  <c r="F18" i="53" s="1"/>
  <c r="G18" i="53" s="1"/>
  <c r="H18" i="53" s="1"/>
  <c r="E16" i="53"/>
  <c r="G15" i="53"/>
  <c r="H15" i="53" s="1"/>
  <c r="E15" i="53"/>
  <c r="E14" i="53"/>
  <c r="G14" i="53" s="1"/>
  <c r="C14" i="53"/>
  <c r="E13" i="53"/>
  <c r="G13" i="53" s="1"/>
  <c r="H13" i="53" s="1"/>
  <c r="C13" i="53"/>
  <c r="F12" i="53"/>
  <c r="E12" i="53"/>
  <c r="G12" i="53" s="1"/>
  <c r="H12" i="53" s="1"/>
  <c r="F11" i="53"/>
  <c r="F10" i="53"/>
  <c r="F9" i="53"/>
  <c r="C9" i="53"/>
  <c r="C8" i="53"/>
  <c r="F8" i="53" s="1"/>
  <c r="E7" i="53"/>
  <c r="C7" i="53"/>
  <c r="F7" i="53" s="1"/>
  <c r="G7" i="53" s="1"/>
  <c r="H7" i="53" s="1"/>
  <c r="C2" i="53"/>
  <c r="L50" i="51"/>
  <c r="C50" i="51"/>
  <c r="M49" i="51"/>
  <c r="K49" i="51"/>
  <c r="L48" i="51"/>
  <c r="M46" i="51"/>
  <c r="N46" i="51" s="1"/>
  <c r="G46" i="51"/>
  <c r="M45" i="51"/>
  <c r="N45" i="51" s="1"/>
  <c r="I45" i="51"/>
  <c r="M44" i="51"/>
  <c r="L44" i="51"/>
  <c r="M43" i="51"/>
  <c r="L43" i="51"/>
  <c r="K43" i="51"/>
  <c r="L42" i="51"/>
  <c r="K42" i="51"/>
  <c r="M42" i="51" s="1"/>
  <c r="L41" i="51"/>
  <c r="K41" i="51"/>
  <c r="M41" i="51" s="1"/>
  <c r="M40" i="51"/>
  <c r="L40" i="51"/>
  <c r="K40" i="51"/>
  <c r="M39" i="51"/>
  <c r="L39" i="51"/>
  <c r="K39" i="51"/>
  <c r="G39" i="51"/>
  <c r="I39" i="51" s="1"/>
  <c r="C39" i="51"/>
  <c r="L38" i="51"/>
  <c r="K38" i="51"/>
  <c r="M38" i="51" s="1"/>
  <c r="K37" i="51"/>
  <c r="M36" i="51"/>
  <c r="L36" i="51"/>
  <c r="K36" i="51"/>
  <c r="M35" i="51"/>
  <c r="L35" i="51"/>
  <c r="K35" i="51"/>
  <c r="L34" i="51"/>
  <c r="K34" i="51"/>
  <c r="M34" i="51" s="1"/>
  <c r="L33" i="51"/>
  <c r="L32" i="51"/>
  <c r="L31" i="51"/>
  <c r="H26" i="51"/>
  <c r="A11" i="51"/>
  <c r="A12" i="51" s="1"/>
  <c r="A7" i="51"/>
  <c r="A8" i="51" s="1"/>
  <c r="A9" i="51" s="1"/>
  <c r="A10" i="51" s="1"/>
  <c r="A6" i="51"/>
  <c r="N26" i="51" s="1"/>
  <c r="D1" i="51"/>
  <c r="E1" i="51" s="1"/>
  <c r="F1" i="51" s="1"/>
  <c r="G1" i="51" s="1"/>
  <c r="H1" i="51" s="1"/>
  <c r="I1" i="51" s="1"/>
  <c r="J1" i="51" s="1"/>
  <c r="K1" i="51" s="1"/>
  <c r="L1" i="51" s="1"/>
  <c r="M1" i="51" s="1"/>
  <c r="N1" i="51" s="1"/>
  <c r="C1" i="51"/>
  <c r="B1" i="51"/>
  <c r="B21" i="52"/>
  <c r="K51" i="51" s="1"/>
  <c r="C20" i="52"/>
  <c r="B20" i="52"/>
  <c r="K50" i="51" s="1"/>
  <c r="M50" i="51" s="1"/>
  <c r="C18" i="52"/>
  <c r="B18" i="52"/>
  <c r="K48" i="51" s="1"/>
  <c r="C17" i="52"/>
  <c r="C8" i="52"/>
  <c r="C21" i="52" s="1"/>
  <c r="L51" i="51" s="1"/>
  <c r="T41" i="48"/>
  <c r="R41" i="48"/>
  <c r="M41" i="48"/>
  <c r="E462" i="40"/>
  <c r="I462" i="40" s="1"/>
  <c r="E460" i="40"/>
  <c r="E461" i="40" s="1"/>
  <c r="I461" i="40" s="1"/>
  <c r="E459" i="40"/>
  <c r="E451" i="40"/>
  <c r="I452" i="40" s="1"/>
  <c r="E449" i="40"/>
  <c r="E450" i="40" s="1"/>
  <c r="I450" i="40" s="1"/>
  <c r="E448" i="40"/>
  <c r="E441" i="40"/>
  <c r="I441" i="40" s="1"/>
  <c r="E439" i="40"/>
  <c r="E440" i="40" s="1"/>
  <c r="I440" i="40" s="1"/>
  <c r="E438" i="40"/>
  <c r="E430" i="40"/>
  <c r="I431" i="40" s="1"/>
  <c r="E428" i="40"/>
  <c r="E429" i="40" s="1"/>
  <c r="I429" i="40" s="1"/>
  <c r="E427" i="40"/>
  <c r="E420" i="40"/>
  <c r="I421" i="40" s="1"/>
  <c r="E418" i="40"/>
  <c r="E419" i="40" s="1"/>
  <c r="I419" i="40" s="1"/>
  <c r="E417" i="40"/>
  <c r="E412" i="40"/>
  <c r="I411" i="40"/>
  <c r="I410" i="40"/>
  <c r="I409" i="40"/>
  <c r="E408" i="40"/>
  <c r="I408" i="40" s="1"/>
  <c r="E404" i="40"/>
  <c r="I403" i="40"/>
  <c r="I402" i="40"/>
  <c r="I401" i="40"/>
  <c r="E400" i="40"/>
  <c r="I400" i="40" s="1"/>
  <c r="E396" i="40"/>
  <c r="I395" i="40"/>
  <c r="I394" i="40"/>
  <c r="I393" i="40"/>
  <c r="E392" i="40"/>
  <c r="I392" i="40" s="1"/>
  <c r="E388" i="40"/>
  <c r="I387" i="40"/>
  <c r="I386" i="40"/>
  <c r="I385" i="40"/>
  <c r="E384" i="40"/>
  <c r="I384" i="40" s="1"/>
  <c r="E380" i="40"/>
  <c r="I379" i="40"/>
  <c r="I378" i="40"/>
  <c r="I377" i="40"/>
  <c r="E376" i="40"/>
  <c r="I376" i="40" s="1"/>
  <c r="E372" i="40"/>
  <c r="I371" i="40"/>
  <c r="I370" i="40"/>
  <c r="I369" i="40"/>
  <c r="E368" i="40"/>
  <c r="I368" i="40" s="1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C329" i="40"/>
  <c r="E329" i="40" s="1"/>
  <c r="I317" i="40"/>
  <c r="E317" i="40"/>
  <c r="E318" i="40" s="1"/>
  <c r="I316" i="40"/>
  <c r="O311" i="40"/>
  <c r="O310" i="40"/>
  <c r="O309" i="40"/>
  <c r="I309" i="40"/>
  <c r="I308" i="40"/>
  <c r="I307" i="40"/>
  <c r="C291" i="40"/>
  <c r="E291" i="40" s="1"/>
  <c r="I279" i="40" s="1"/>
  <c r="D294" i="40" s="1"/>
  <c r="Q288" i="40"/>
  <c r="P294" i="40" s="1"/>
  <c r="Q287" i="40"/>
  <c r="I292" i="40" s="1"/>
  <c r="I287" i="40"/>
  <c r="I280" i="40"/>
  <c r="I281" i="40" s="1"/>
  <c r="E280" i="40"/>
  <c r="I273" i="40"/>
  <c r="H263" i="40"/>
  <c r="H258" i="40"/>
  <c r="H253" i="40"/>
  <c r="I247" i="40"/>
  <c r="E246" i="40"/>
  <c r="D246" i="40"/>
  <c r="C246" i="40"/>
  <c r="E245" i="40"/>
  <c r="I263" i="40" s="1"/>
  <c r="D245" i="40"/>
  <c r="I258" i="40" s="1"/>
  <c r="C245" i="40"/>
  <c r="I253" i="40" s="1"/>
  <c r="I239" i="40"/>
  <c r="I235" i="40"/>
  <c r="P233" i="40"/>
  <c r="Q233" i="40" s="1"/>
  <c r="R233" i="40" s="1"/>
  <c r="I248" i="40" s="1"/>
  <c r="I231" i="40"/>
  <c r="I227" i="40"/>
  <c r="P225" i="40"/>
  <c r="I211" i="40"/>
  <c r="I207" i="40"/>
  <c r="I203" i="40"/>
  <c r="I202" i="40"/>
  <c r="I201" i="40"/>
  <c r="I200" i="40"/>
  <c r="E198" i="40"/>
  <c r="I197" i="40"/>
  <c r="I193" i="40"/>
  <c r="I188" i="40"/>
  <c r="I187" i="40"/>
  <c r="D181" i="40"/>
  <c r="I179" i="40"/>
  <c r="I178" i="40"/>
  <c r="I177" i="40"/>
  <c r="I176" i="40"/>
  <c r="E174" i="40"/>
  <c r="I173" i="40"/>
  <c r="I169" i="40"/>
  <c r="I165" i="40"/>
  <c r="I164" i="40"/>
  <c r="I163" i="40"/>
  <c r="E161" i="40"/>
  <c r="I157" i="40"/>
  <c r="E154" i="40"/>
  <c r="I150" i="40"/>
  <c r="I144" i="40"/>
  <c r="I140" i="40"/>
  <c r="C137" i="40"/>
  <c r="I135" i="40"/>
  <c r="I131" i="40"/>
  <c r="C129" i="40"/>
  <c r="I127" i="40"/>
  <c r="I128" i="40" s="1"/>
  <c r="I124" i="40"/>
  <c r="I120" i="40"/>
  <c r="D118" i="40"/>
  <c r="I116" i="40"/>
  <c r="I112" i="40"/>
  <c r="I107" i="40"/>
  <c r="I103" i="40"/>
  <c r="I100" i="40"/>
  <c r="I96" i="40"/>
  <c r="I93" i="40"/>
  <c r="I89" i="40"/>
  <c r="C88" i="40"/>
  <c r="I85" i="40"/>
  <c r="I84" i="40"/>
  <c r="I82" i="40"/>
  <c r="I80" i="40"/>
  <c r="C79" i="40"/>
  <c r="A78" i="40"/>
  <c r="A77" i="40"/>
  <c r="E75" i="40"/>
  <c r="D75" i="40"/>
  <c r="C75" i="40"/>
  <c r="B75" i="40"/>
  <c r="E74" i="40"/>
  <c r="D74" i="40"/>
  <c r="C74" i="40"/>
  <c r="B74" i="40"/>
  <c r="E73" i="40"/>
  <c r="D73" i="40"/>
  <c r="C73" i="40"/>
  <c r="B73" i="40"/>
  <c r="E72" i="40"/>
  <c r="D72" i="40"/>
  <c r="C72" i="40"/>
  <c r="B72" i="40"/>
  <c r="E71" i="40"/>
  <c r="D71" i="40"/>
  <c r="C71" i="40"/>
  <c r="B71" i="40"/>
  <c r="E70" i="40"/>
  <c r="D70" i="40"/>
  <c r="C70" i="40"/>
  <c r="B70" i="40"/>
  <c r="E69" i="40"/>
  <c r="D69" i="40"/>
  <c r="C69" i="40"/>
  <c r="B69" i="40"/>
  <c r="E68" i="40"/>
  <c r="D68" i="40"/>
  <c r="C68" i="40"/>
  <c r="B68" i="40"/>
  <c r="E67" i="40"/>
  <c r="D67" i="40"/>
  <c r="C67" i="40"/>
  <c r="B67" i="40"/>
  <c r="K66" i="40"/>
  <c r="J66" i="40"/>
  <c r="I66" i="40"/>
  <c r="H66" i="40"/>
  <c r="G66" i="40"/>
  <c r="F66" i="40"/>
  <c r="E66" i="40"/>
  <c r="D66" i="40"/>
  <c r="B66" i="40"/>
  <c r="K65" i="40"/>
  <c r="J65" i="40"/>
  <c r="I65" i="40"/>
  <c r="H65" i="40"/>
  <c r="G65" i="40"/>
  <c r="F65" i="40"/>
  <c r="E65" i="40"/>
  <c r="D65" i="40"/>
  <c r="B65" i="40"/>
  <c r="K64" i="40"/>
  <c r="J64" i="40"/>
  <c r="I64" i="40"/>
  <c r="H64" i="40"/>
  <c r="G64" i="40"/>
  <c r="F64" i="40"/>
  <c r="E64" i="40"/>
  <c r="D64" i="40"/>
  <c r="B64" i="40"/>
  <c r="K63" i="40"/>
  <c r="J63" i="40"/>
  <c r="I63" i="40"/>
  <c r="H63" i="40"/>
  <c r="G63" i="40"/>
  <c r="F63" i="40"/>
  <c r="E63" i="40"/>
  <c r="D63" i="40"/>
  <c r="B63" i="40"/>
  <c r="K62" i="40"/>
  <c r="J62" i="40"/>
  <c r="I62" i="40"/>
  <c r="H62" i="40"/>
  <c r="G62" i="40"/>
  <c r="F62" i="40"/>
  <c r="E62" i="40"/>
  <c r="D62" i="40"/>
  <c r="B62" i="40"/>
  <c r="K61" i="40"/>
  <c r="J61" i="40"/>
  <c r="I61" i="40"/>
  <c r="H61" i="40"/>
  <c r="G61" i="40"/>
  <c r="F61" i="40"/>
  <c r="E61" i="40"/>
  <c r="D61" i="40"/>
  <c r="B61" i="40"/>
  <c r="K60" i="40"/>
  <c r="J60" i="40"/>
  <c r="I60" i="40"/>
  <c r="H60" i="40"/>
  <c r="G60" i="40"/>
  <c r="F60" i="40"/>
  <c r="E60" i="40"/>
  <c r="D60" i="40"/>
  <c r="B60" i="40"/>
  <c r="K59" i="40"/>
  <c r="J59" i="40"/>
  <c r="I59" i="40"/>
  <c r="H59" i="40"/>
  <c r="G59" i="40"/>
  <c r="F59" i="40"/>
  <c r="E59" i="40"/>
  <c r="D59" i="40"/>
  <c r="B59" i="40"/>
  <c r="K58" i="40"/>
  <c r="J58" i="40"/>
  <c r="I58" i="40"/>
  <c r="H58" i="40"/>
  <c r="G58" i="40"/>
  <c r="F58" i="40"/>
  <c r="E58" i="40"/>
  <c r="D58" i="40"/>
  <c r="B58" i="40"/>
  <c r="K57" i="40"/>
  <c r="J57" i="40"/>
  <c r="I57" i="40"/>
  <c r="H57" i="40"/>
  <c r="G57" i="40"/>
  <c r="F57" i="40"/>
  <c r="E57" i="40"/>
  <c r="D57" i="40"/>
  <c r="B57" i="40"/>
  <c r="K56" i="40"/>
  <c r="J56" i="40"/>
  <c r="I56" i="40"/>
  <c r="H56" i="40"/>
  <c r="G56" i="40"/>
  <c r="F56" i="40"/>
  <c r="E56" i="40"/>
  <c r="D56" i="40"/>
  <c r="B56" i="40"/>
  <c r="K55" i="40"/>
  <c r="J55" i="40"/>
  <c r="I55" i="40"/>
  <c r="H55" i="40"/>
  <c r="G55" i="40"/>
  <c r="F55" i="40"/>
  <c r="E55" i="40"/>
  <c r="D55" i="40"/>
  <c r="B55" i="40"/>
  <c r="K54" i="40"/>
  <c r="J54" i="40"/>
  <c r="I54" i="40"/>
  <c r="H54" i="40"/>
  <c r="G54" i="40"/>
  <c r="F54" i="40"/>
  <c r="E54" i="40"/>
  <c r="D54" i="40"/>
  <c r="B54" i="40"/>
  <c r="K53" i="40"/>
  <c r="J53" i="40"/>
  <c r="I53" i="40"/>
  <c r="H53" i="40"/>
  <c r="G53" i="40"/>
  <c r="F53" i="40"/>
  <c r="E53" i="40"/>
  <c r="D53" i="40"/>
  <c r="B53" i="40"/>
  <c r="K52" i="40"/>
  <c r="I52" i="40"/>
  <c r="H52" i="40"/>
  <c r="G52" i="40"/>
  <c r="F52" i="40"/>
  <c r="E52" i="40"/>
  <c r="D52" i="40"/>
  <c r="C52" i="40"/>
  <c r="B52" i="40"/>
  <c r="K51" i="40"/>
  <c r="J51" i="40"/>
  <c r="I51" i="40"/>
  <c r="H51" i="40"/>
  <c r="G51" i="40"/>
  <c r="F51" i="40"/>
  <c r="E158" i="40" s="1"/>
  <c r="E51" i="40"/>
  <c r="D51" i="40"/>
  <c r="C51" i="40"/>
  <c r="B51" i="40"/>
  <c r="K50" i="40"/>
  <c r="J50" i="40"/>
  <c r="I50" i="40"/>
  <c r="I113" i="40" s="1"/>
  <c r="H50" i="40"/>
  <c r="G50" i="40"/>
  <c r="F50" i="40"/>
  <c r="E113" i="40" s="1"/>
  <c r="E50" i="40"/>
  <c r="D50" i="40"/>
  <c r="C50" i="40"/>
  <c r="B50" i="40"/>
  <c r="K49" i="40"/>
  <c r="J49" i="40"/>
  <c r="I49" i="40"/>
  <c r="H49" i="40"/>
  <c r="G49" i="40"/>
  <c r="F49" i="40"/>
  <c r="E49" i="40"/>
  <c r="D49" i="40"/>
  <c r="C49" i="40"/>
  <c r="B49" i="40"/>
  <c r="K48" i="40"/>
  <c r="J48" i="40"/>
  <c r="I48" i="40"/>
  <c r="I275" i="40" s="1"/>
  <c r="H48" i="40"/>
  <c r="G48" i="40"/>
  <c r="F48" i="40"/>
  <c r="D275" i="40" s="1"/>
  <c r="E48" i="40"/>
  <c r="C48" i="40"/>
  <c r="B48" i="40"/>
  <c r="K47" i="40"/>
  <c r="J47" i="40"/>
  <c r="I47" i="40"/>
  <c r="I288" i="40" s="1"/>
  <c r="H47" i="40"/>
  <c r="G47" i="40"/>
  <c r="F47" i="40"/>
  <c r="D288" i="40" s="1"/>
  <c r="E47" i="40"/>
  <c r="C47" i="40"/>
  <c r="B47" i="40"/>
  <c r="I45" i="40"/>
  <c r="I43" i="40"/>
  <c r="I42" i="40"/>
  <c r="I41" i="40"/>
  <c r="B39" i="40"/>
  <c r="B40" i="40" s="1"/>
  <c r="I46" i="40" s="1"/>
  <c r="B38" i="40"/>
  <c r="I44" i="40" s="1"/>
  <c r="F36" i="40"/>
  <c r="F37" i="40" s="1"/>
  <c r="I35" i="40"/>
  <c r="F35" i="40"/>
  <c r="F34" i="40"/>
  <c r="N27" i="40"/>
  <c r="N28" i="40" s="1"/>
  <c r="N29" i="40" s="1"/>
  <c r="N30" i="40" s="1"/>
  <c r="N31" i="40" s="1"/>
  <c r="N32" i="40" s="1"/>
  <c r="N33" i="40" s="1"/>
  <c r="N34" i="40" s="1"/>
  <c r="N35" i="40" s="1"/>
  <c r="N36" i="40" s="1"/>
  <c r="N37" i="40" s="1"/>
  <c r="N38" i="40" s="1"/>
  <c r="N39" i="40" s="1"/>
  <c r="N40" i="40" s="1"/>
  <c r="N41" i="40" s="1"/>
  <c r="N42" i="40" s="1"/>
  <c r="N43" i="40" s="1"/>
  <c r="N44" i="40" s="1"/>
  <c r="N45" i="40" s="1"/>
  <c r="N46" i="40" s="1"/>
  <c r="N47" i="40" s="1"/>
  <c r="N48" i="40" s="1"/>
  <c r="N49" i="40" s="1"/>
  <c r="N50" i="40" s="1"/>
  <c r="N51" i="40" s="1"/>
  <c r="N52" i="40" s="1"/>
  <c r="N53" i="40" s="1"/>
  <c r="N54" i="40" s="1"/>
  <c r="N55" i="40" s="1"/>
  <c r="N56" i="40" s="1"/>
  <c r="N57" i="40" s="1"/>
  <c r="N58" i="40" s="1"/>
  <c r="N59" i="40" s="1"/>
  <c r="N60" i="40" s="1"/>
  <c r="N61" i="40" s="1"/>
  <c r="J27" i="40"/>
  <c r="J33" i="40" s="1"/>
  <c r="D40" i="40" s="1"/>
  <c r="F22" i="40"/>
  <c r="I22" i="40" s="1"/>
  <c r="K22" i="40" s="1"/>
  <c r="I21" i="40"/>
  <c r="K21" i="40" s="1"/>
  <c r="F21" i="40"/>
  <c r="I20" i="40"/>
  <c r="K20" i="40" s="1"/>
  <c r="F20" i="40"/>
  <c r="F23" i="40" s="1"/>
  <c r="F19" i="40"/>
  <c r="K18" i="40"/>
  <c r="J18" i="40"/>
  <c r="I18" i="40"/>
  <c r="H18" i="40"/>
  <c r="G18" i="40"/>
  <c r="F18" i="40"/>
  <c r="E18" i="40"/>
  <c r="D18" i="40"/>
  <c r="C18" i="40"/>
  <c r="B18" i="40"/>
  <c r="A18" i="40"/>
  <c r="K17" i="40"/>
  <c r="J17" i="40"/>
  <c r="I17" i="40"/>
  <c r="H17" i="40"/>
  <c r="G17" i="40"/>
  <c r="F17" i="40"/>
  <c r="E17" i="40"/>
  <c r="D17" i="40"/>
  <c r="C17" i="40"/>
  <c r="B17" i="40"/>
  <c r="A17" i="40"/>
  <c r="K16" i="40"/>
  <c r="J16" i="40"/>
  <c r="I16" i="40"/>
  <c r="H16" i="40"/>
  <c r="G16" i="40"/>
  <c r="F16" i="40"/>
  <c r="E16" i="40"/>
  <c r="D16" i="40"/>
  <c r="C16" i="40"/>
  <c r="B16" i="40"/>
  <c r="A16" i="40"/>
  <c r="K15" i="40"/>
  <c r="J15" i="40"/>
  <c r="I15" i="40"/>
  <c r="H15" i="40"/>
  <c r="G15" i="40"/>
  <c r="F15" i="40"/>
  <c r="E15" i="40"/>
  <c r="D15" i="40"/>
  <c r="C15" i="40"/>
  <c r="B15" i="40"/>
  <c r="A15" i="40"/>
  <c r="K14" i="40"/>
  <c r="J14" i="40"/>
  <c r="I14" i="40"/>
  <c r="H14" i="40"/>
  <c r="G14" i="40"/>
  <c r="F14" i="40"/>
  <c r="E14" i="40"/>
  <c r="D14" i="40"/>
  <c r="C14" i="40"/>
  <c r="B14" i="40"/>
  <c r="A14" i="40"/>
  <c r="K13" i="40"/>
  <c r="J13" i="40"/>
  <c r="I13" i="40"/>
  <c r="H13" i="40"/>
  <c r="G13" i="40"/>
  <c r="F13" i="40"/>
  <c r="E13" i="40"/>
  <c r="D13" i="40"/>
  <c r="C13" i="40"/>
  <c r="B13" i="40"/>
  <c r="A13" i="40"/>
  <c r="K12" i="40"/>
  <c r="J12" i="40"/>
  <c r="I12" i="40"/>
  <c r="I184" i="40" s="1"/>
  <c r="H12" i="40"/>
  <c r="G12" i="40"/>
  <c r="F12" i="40"/>
  <c r="E184" i="40" s="1"/>
  <c r="E12" i="40"/>
  <c r="D12" i="40"/>
  <c r="I183" i="40" s="1"/>
  <c r="C12" i="40"/>
  <c r="B12" i="40"/>
  <c r="A12" i="40"/>
  <c r="K11" i="40"/>
  <c r="J11" i="40"/>
  <c r="I11" i="40"/>
  <c r="I151" i="40" s="1"/>
  <c r="H11" i="40"/>
  <c r="G11" i="40"/>
  <c r="F11" i="40"/>
  <c r="E141" i="40" s="1"/>
  <c r="E11" i="40"/>
  <c r="D11" i="40"/>
  <c r="I206" i="40" s="1"/>
  <c r="C11" i="40"/>
  <c r="B11" i="40"/>
  <c r="A11" i="40"/>
  <c r="K10" i="40"/>
  <c r="J10" i="40"/>
  <c r="I10" i="40"/>
  <c r="I132" i="40" s="1"/>
  <c r="H10" i="40"/>
  <c r="G10" i="40"/>
  <c r="F10" i="40"/>
  <c r="E132" i="40" s="1"/>
  <c r="E10" i="40"/>
  <c r="D10" i="40"/>
  <c r="I130" i="40" s="1"/>
  <c r="C10" i="40"/>
  <c r="B10" i="40"/>
  <c r="A10" i="40"/>
  <c r="K9" i="40"/>
  <c r="J9" i="40"/>
  <c r="I9" i="40"/>
  <c r="I121" i="40" s="1"/>
  <c r="H9" i="40"/>
  <c r="G9" i="40"/>
  <c r="F9" i="40"/>
  <c r="E121" i="40" s="1"/>
  <c r="E9" i="40"/>
  <c r="D9" i="40"/>
  <c r="I119" i="40" s="1"/>
  <c r="C9" i="40"/>
  <c r="B9" i="40"/>
  <c r="A9" i="40"/>
  <c r="K8" i="40"/>
  <c r="J8" i="40"/>
  <c r="I8" i="40"/>
  <c r="I97" i="40" s="1"/>
  <c r="H8" i="40"/>
  <c r="G8" i="40"/>
  <c r="F8" i="40"/>
  <c r="E90" i="40" s="1"/>
  <c r="E8" i="40"/>
  <c r="D8" i="40"/>
  <c r="C8" i="40"/>
  <c r="B8" i="40"/>
  <c r="A8" i="40"/>
  <c r="C6" i="40"/>
  <c r="C5" i="40"/>
  <c r="A5" i="40"/>
  <c r="A3" i="40"/>
  <c r="A2" i="40"/>
  <c r="A1" i="48"/>
  <c r="D19" i="61"/>
  <c r="F19" i="61" s="1"/>
  <c r="H18" i="61"/>
  <c r="I18" i="61"/>
  <c r="B18" i="61"/>
  <c r="G17" i="61"/>
  <c r="C17" i="61"/>
  <c r="B17" i="61"/>
  <c r="I16" i="61"/>
  <c r="H16" i="61"/>
  <c r="I15" i="61"/>
  <c r="H15" i="61"/>
  <c r="B15" i="61"/>
  <c r="G14" i="61"/>
  <c r="C14" i="61"/>
  <c r="B14" i="61"/>
  <c r="B13" i="61"/>
  <c r="C12" i="61"/>
  <c r="B12" i="61"/>
  <c r="B11" i="61"/>
  <c r="B8" i="61"/>
  <c r="L20" i="59"/>
  <c r="L19" i="59"/>
  <c r="L17" i="59"/>
  <c r="I3" i="59"/>
  <c r="A2" i="59"/>
  <c r="C17" i="38"/>
  <c r="C16" i="38"/>
  <c r="C12" i="38"/>
  <c r="C4" i="38"/>
  <c r="C3" i="38"/>
  <c r="T164" i="35"/>
  <c r="R164" i="35"/>
  <c r="M164" i="35"/>
  <c r="R163" i="35"/>
  <c r="R162" i="35"/>
  <c r="R161" i="35"/>
  <c r="M161" i="35"/>
  <c r="R160" i="35"/>
  <c r="M160" i="35"/>
  <c r="R159" i="35"/>
  <c r="M159" i="35"/>
  <c r="U144" i="35"/>
  <c r="F142" i="35"/>
  <c r="F141" i="35"/>
  <c r="F139" i="35"/>
  <c r="A123" i="35"/>
  <c r="A122" i="35"/>
  <c r="T120" i="35"/>
  <c r="R120" i="35"/>
  <c r="M120" i="35"/>
  <c r="R119" i="35"/>
  <c r="R118" i="35"/>
  <c r="R117" i="35"/>
  <c r="M117" i="35"/>
  <c r="R116" i="35"/>
  <c r="M116" i="35"/>
  <c r="R115" i="35"/>
  <c r="M115" i="35"/>
  <c r="S101" i="35"/>
  <c r="A82" i="35"/>
  <c r="M76" i="35"/>
  <c r="A50" i="35"/>
  <c r="A48" i="35"/>
  <c r="A80" i="35" s="1"/>
  <c r="A44" i="35"/>
  <c r="A42" i="35"/>
  <c r="A40" i="35"/>
  <c r="J120" i="58"/>
  <c r="H120" i="58"/>
  <c r="G120" i="58"/>
  <c r="F120" i="58"/>
  <c r="J119" i="58"/>
  <c r="H119" i="58"/>
  <c r="I119" i="58" s="1"/>
  <c r="G119" i="58"/>
  <c r="F119" i="58"/>
  <c r="J117" i="58"/>
  <c r="H117" i="58"/>
  <c r="I117" i="58" s="1"/>
  <c r="G117" i="58"/>
  <c r="F117" i="58"/>
  <c r="J116" i="58"/>
  <c r="H116" i="58"/>
  <c r="G116" i="58"/>
  <c r="F116" i="58"/>
  <c r="J115" i="58"/>
  <c r="H115" i="58"/>
  <c r="G115" i="58"/>
  <c r="F115" i="58"/>
  <c r="J114" i="58"/>
  <c r="H114" i="58"/>
  <c r="I114" i="58" s="1"/>
  <c r="G114" i="58"/>
  <c r="F114" i="58"/>
  <c r="J113" i="58"/>
  <c r="J112" i="58"/>
  <c r="J111" i="58"/>
  <c r="H111" i="58"/>
  <c r="I111" i="58" s="1"/>
  <c r="G111" i="58"/>
  <c r="F111" i="58"/>
  <c r="J110" i="58"/>
  <c r="H110" i="58"/>
  <c r="I110" i="58" s="1"/>
  <c r="G110" i="58"/>
  <c r="F110" i="58"/>
  <c r="J109" i="58"/>
  <c r="H109" i="58"/>
  <c r="I109" i="58" s="1"/>
  <c r="G109" i="58"/>
  <c r="F109" i="58"/>
  <c r="J108" i="58"/>
  <c r="H108" i="58"/>
  <c r="G108" i="58"/>
  <c r="F108" i="58"/>
  <c r="J107" i="58"/>
  <c r="H107" i="58"/>
  <c r="I107" i="58" s="1"/>
  <c r="G107" i="58"/>
  <c r="F107" i="58"/>
  <c r="J106" i="58"/>
  <c r="H106" i="58"/>
  <c r="I106" i="58" s="1"/>
  <c r="G106" i="58"/>
  <c r="F106" i="58"/>
  <c r="J105" i="58"/>
  <c r="H105" i="58"/>
  <c r="I105" i="58" s="1"/>
  <c r="G105" i="58"/>
  <c r="F105" i="58"/>
  <c r="J104" i="58"/>
  <c r="H104" i="58"/>
  <c r="I104" i="58" s="1"/>
  <c r="G104" i="58"/>
  <c r="F104" i="58"/>
  <c r="J103" i="58"/>
  <c r="H103" i="58"/>
  <c r="I103" i="58" s="1"/>
  <c r="G103" i="58"/>
  <c r="F103" i="58"/>
  <c r="J102" i="58"/>
  <c r="H102" i="58"/>
  <c r="I102" i="58" s="1"/>
  <c r="G102" i="58"/>
  <c r="F102" i="58"/>
  <c r="J101" i="58"/>
  <c r="H101" i="58"/>
  <c r="I101" i="58" s="1"/>
  <c r="G101" i="58"/>
  <c r="F101" i="58"/>
  <c r="J100" i="58"/>
  <c r="H100" i="58"/>
  <c r="I100" i="58" s="1"/>
  <c r="G100" i="58"/>
  <c r="F100" i="58"/>
  <c r="J99" i="58"/>
  <c r="H99" i="58"/>
  <c r="I99" i="58" s="1"/>
  <c r="G99" i="58"/>
  <c r="F99" i="58"/>
  <c r="J98" i="58"/>
  <c r="H98" i="58"/>
  <c r="I98" i="58" s="1"/>
  <c r="G98" i="58"/>
  <c r="F98" i="58"/>
  <c r="J97" i="58"/>
  <c r="H97" i="58"/>
  <c r="I97" i="58" s="1"/>
  <c r="G97" i="58"/>
  <c r="F97" i="58"/>
  <c r="J96" i="58"/>
  <c r="H96" i="58"/>
  <c r="I96" i="58" s="1"/>
  <c r="G96" i="58"/>
  <c r="F96" i="58"/>
  <c r="J95" i="58"/>
  <c r="H95" i="58"/>
  <c r="I95" i="58" s="1"/>
  <c r="G95" i="58"/>
  <c r="F95" i="58"/>
  <c r="J94" i="58"/>
  <c r="H94" i="58"/>
  <c r="I94" i="58" s="1"/>
  <c r="G94" i="58"/>
  <c r="F94" i="58"/>
  <c r="J93" i="58"/>
  <c r="H93" i="58"/>
  <c r="I93" i="58" s="1"/>
  <c r="G93" i="58"/>
  <c r="F93" i="58"/>
  <c r="J92" i="58"/>
  <c r="H92" i="58"/>
  <c r="I92" i="58" s="1"/>
  <c r="G92" i="58"/>
  <c r="F92" i="58"/>
  <c r="J91" i="58"/>
  <c r="H91" i="58"/>
  <c r="I91" i="58" s="1"/>
  <c r="G91" i="58"/>
  <c r="F91" i="58"/>
  <c r="J90" i="58"/>
  <c r="H90" i="58"/>
  <c r="G90" i="58"/>
  <c r="F90" i="58"/>
  <c r="J89" i="58"/>
  <c r="H89" i="58"/>
  <c r="I89" i="58" s="1"/>
  <c r="G89" i="58"/>
  <c r="F89" i="58"/>
  <c r="J88" i="58"/>
  <c r="H88" i="58"/>
  <c r="I88" i="58" s="1"/>
  <c r="G88" i="58"/>
  <c r="F88" i="58"/>
  <c r="J87" i="58"/>
  <c r="H87" i="58"/>
  <c r="I87" i="58" s="1"/>
  <c r="G87" i="58"/>
  <c r="F87" i="58"/>
  <c r="J86" i="58"/>
  <c r="H86" i="58"/>
  <c r="I86" i="58" s="1"/>
  <c r="G86" i="58"/>
  <c r="F86" i="58"/>
  <c r="J85" i="58"/>
  <c r="H85" i="58"/>
  <c r="I85" i="58" s="1"/>
  <c r="G85" i="58"/>
  <c r="F85" i="58"/>
  <c r="H84" i="58"/>
  <c r="I84" i="58" s="1"/>
  <c r="G84" i="58"/>
  <c r="F84" i="58"/>
  <c r="H83" i="58"/>
  <c r="I83" i="58" s="1"/>
  <c r="G83" i="58"/>
  <c r="F83" i="58"/>
  <c r="H59" i="58"/>
  <c r="I59" i="58" s="1"/>
  <c r="G59" i="58"/>
  <c r="J58" i="58"/>
  <c r="H58" i="58"/>
  <c r="G58" i="58"/>
  <c r="F58" i="58"/>
  <c r="J57" i="58"/>
  <c r="H57" i="58"/>
  <c r="I57" i="58" s="1"/>
  <c r="G57" i="58"/>
  <c r="F57" i="58"/>
  <c r="J56" i="58"/>
  <c r="H56" i="58"/>
  <c r="I56" i="58" s="1"/>
  <c r="G56" i="58"/>
  <c r="F56" i="58"/>
  <c r="J55" i="58"/>
  <c r="J54" i="58"/>
  <c r="H54" i="58"/>
  <c r="I54" i="58" s="1"/>
  <c r="G54" i="58"/>
  <c r="F54" i="58"/>
  <c r="J53" i="58"/>
  <c r="H53" i="58"/>
  <c r="I53" i="58" s="1"/>
  <c r="G53" i="58"/>
  <c r="F53" i="58"/>
  <c r="J52" i="58"/>
  <c r="G52" i="58"/>
  <c r="F52" i="58"/>
  <c r="J51" i="58"/>
  <c r="G51" i="58"/>
  <c r="F51" i="58"/>
  <c r="J50" i="58"/>
  <c r="J49" i="58"/>
  <c r="J48" i="58"/>
  <c r="H48" i="58"/>
  <c r="F48" i="58" s="1"/>
  <c r="G48" i="58"/>
  <c r="G47" i="58"/>
  <c r="J45" i="58"/>
  <c r="J44" i="58"/>
  <c r="G44" i="58"/>
  <c r="F44" i="58"/>
  <c r="J43" i="58"/>
  <c r="G43" i="58"/>
  <c r="F43" i="58"/>
  <c r="J42" i="58"/>
  <c r="J40" i="58"/>
  <c r="G40" i="58"/>
  <c r="F40" i="58"/>
  <c r="J39" i="58"/>
  <c r="J37" i="58"/>
  <c r="G37" i="58"/>
  <c r="F37" i="58"/>
  <c r="J36" i="58"/>
  <c r="J35" i="58"/>
  <c r="F35" i="58"/>
  <c r="H35" i="58" s="1"/>
  <c r="J34" i="58"/>
  <c r="G34" i="58"/>
  <c r="F34" i="58"/>
  <c r="J33" i="58"/>
  <c r="G21" i="58"/>
  <c r="F21" i="58"/>
  <c r="G20" i="58"/>
  <c r="F20" i="58"/>
  <c r="G19" i="58"/>
  <c r="F19" i="58"/>
  <c r="G18" i="58"/>
  <c r="F18" i="58"/>
  <c r="G17" i="58"/>
  <c r="F17" i="58"/>
  <c r="H16" i="58"/>
  <c r="G16" i="58"/>
  <c r="F16" i="58"/>
  <c r="L15" i="58"/>
  <c r="I15" i="58"/>
  <c r="G15" i="58"/>
  <c r="F15" i="58"/>
  <c r="F14" i="58"/>
  <c r="H14" i="58" s="1"/>
  <c r="I14" i="58" s="1"/>
  <c r="D13" i="58"/>
  <c r="V24" i="45"/>
  <c r="N24" i="45"/>
  <c r="P24" i="45" s="1"/>
  <c r="M24" i="45"/>
  <c r="O24" i="45" s="1"/>
  <c r="L24" i="45"/>
  <c r="K24" i="45"/>
  <c r="A24" i="45"/>
  <c r="X23" i="45"/>
  <c r="Z23" i="45" s="1"/>
  <c r="V23" i="45"/>
  <c r="P23" i="45"/>
  <c r="N23" i="45"/>
  <c r="M23" i="45"/>
  <c r="O23" i="45" s="1"/>
  <c r="L23" i="45"/>
  <c r="A23" i="45"/>
  <c r="X22" i="45"/>
  <c r="Z22" i="45" s="1"/>
  <c r="W22" i="45"/>
  <c r="Y22" i="45" s="1"/>
  <c r="V22" i="45"/>
  <c r="O22" i="45"/>
  <c r="N22" i="45"/>
  <c r="P22" i="45" s="1"/>
  <c r="M22" i="45"/>
  <c r="L22" i="45"/>
  <c r="K22" i="45"/>
  <c r="A22" i="45"/>
  <c r="X21" i="45"/>
  <c r="Z21" i="45" s="1"/>
  <c r="V21" i="45"/>
  <c r="P21" i="45"/>
  <c r="O21" i="45"/>
  <c r="N21" i="45"/>
  <c r="M21" i="45"/>
  <c r="L21" i="45"/>
  <c r="A21" i="45"/>
  <c r="V20" i="45"/>
  <c r="N20" i="45"/>
  <c r="P20" i="45" s="1"/>
  <c r="M20" i="45"/>
  <c r="O20" i="45" s="1"/>
  <c r="L20" i="45"/>
  <c r="K20" i="45"/>
  <c r="A20" i="45"/>
  <c r="V19" i="45"/>
  <c r="N19" i="45"/>
  <c r="P19" i="45" s="1"/>
  <c r="M19" i="45"/>
  <c r="O19" i="45" s="1"/>
  <c r="L19" i="45"/>
  <c r="A19" i="45"/>
  <c r="V18" i="45"/>
  <c r="U18" i="45"/>
  <c r="L18" i="45"/>
  <c r="K18" i="45"/>
  <c r="A18" i="45"/>
  <c r="V17" i="45"/>
  <c r="L17" i="45"/>
  <c r="K17" i="45"/>
  <c r="B17" i="45"/>
  <c r="A17" i="45"/>
  <c r="V15" i="45"/>
  <c r="AB13" i="45"/>
  <c r="R13" i="45"/>
  <c r="AB12" i="45"/>
  <c r="Y12" i="45"/>
  <c r="U12" i="45"/>
  <c r="U24" i="45" s="1"/>
  <c r="K12" i="45"/>
  <c r="AC11" i="45"/>
  <c r="AB11" i="45"/>
  <c r="Y11" i="45"/>
  <c r="W23" i="45" s="1"/>
  <c r="Y23" i="45" s="1"/>
  <c r="K11" i="45"/>
  <c r="U11" i="45" s="1"/>
  <c r="U23" i="45" s="1"/>
  <c r="AC10" i="45"/>
  <c r="AB10" i="45"/>
  <c r="Y10" i="45"/>
  <c r="K10" i="45"/>
  <c r="U10" i="45" s="1"/>
  <c r="U22" i="45" s="1"/>
  <c r="AC9" i="45"/>
  <c r="AB9" i="45"/>
  <c r="Y9" i="45"/>
  <c r="W21" i="45" s="1"/>
  <c r="Y21" i="45" s="1"/>
  <c r="U9" i="45"/>
  <c r="U21" i="45" s="1"/>
  <c r="K9" i="45"/>
  <c r="K21" i="45" s="1"/>
  <c r="AB8" i="45"/>
  <c r="Y8" i="45"/>
  <c r="U8" i="45"/>
  <c r="U20" i="45" s="1"/>
  <c r="K8" i="45"/>
  <c r="AB7" i="45"/>
  <c r="Y7" i="45"/>
  <c r="W19" i="45" s="1"/>
  <c r="Y19" i="45" s="1"/>
  <c r="K7" i="45"/>
  <c r="AB6" i="45"/>
  <c r="Y6" i="45"/>
  <c r="X18" i="45" s="1"/>
  <c r="Z18" i="45" s="1"/>
  <c r="U6" i="45"/>
  <c r="N18" i="45"/>
  <c r="K6" i="45"/>
  <c r="Y5" i="45"/>
  <c r="U5" i="45"/>
  <c r="U17" i="45" s="1"/>
  <c r="R5" i="45"/>
  <c r="O5" i="45"/>
  <c r="N17" i="45" s="1"/>
  <c r="P17" i="45" s="1"/>
  <c r="K5" i="45"/>
  <c r="H5" i="45"/>
  <c r="E5" i="45"/>
  <c r="F17" i="45" s="1"/>
  <c r="H17" i="45" s="1"/>
  <c r="P26" i="36"/>
  <c r="W16" i="36"/>
  <c r="H16" i="36"/>
  <c r="D16" i="36"/>
  <c r="Z14" i="36"/>
  <c r="W14" i="36"/>
  <c r="D14" i="36"/>
  <c r="W13" i="36"/>
  <c r="W18" i="36" s="1"/>
  <c r="P13" i="36"/>
  <c r="S26" i="36" s="1"/>
  <c r="D13" i="36"/>
  <c r="D18" i="36" s="1"/>
  <c r="W11" i="36"/>
  <c r="P11" i="36"/>
  <c r="P14" i="36" s="1"/>
  <c r="P18" i="36" s="1"/>
  <c r="L11" i="36"/>
  <c r="H11" i="36"/>
  <c r="H14" i="36" s="1"/>
  <c r="D11" i="36"/>
  <c r="T11" i="36" s="1"/>
  <c r="T14" i="36" s="1"/>
  <c r="J46" i="37"/>
  <c r="U10" i="37" s="1"/>
  <c r="E45" i="37"/>
  <c r="J41" i="37"/>
  <c r="J45" i="37" s="1"/>
  <c r="J50" i="37" s="1"/>
  <c r="E41" i="37"/>
  <c r="E46" i="37" s="1"/>
  <c r="J33" i="37"/>
  <c r="E31" i="37"/>
  <c r="E33" i="37" s="1"/>
  <c r="J30" i="37"/>
  <c r="E30" i="37"/>
  <c r="E35" i="37" s="1"/>
  <c r="J26" i="37"/>
  <c r="J31" i="37" s="1"/>
  <c r="E26" i="37"/>
  <c r="W16" i="37"/>
  <c r="J11" i="37"/>
  <c r="J16" i="37" s="1"/>
  <c r="E11" i="37"/>
  <c r="E16" i="37" s="1"/>
  <c r="Q10" i="37" s="1"/>
  <c r="J55" i="37" s="1"/>
  <c r="U9" i="37"/>
  <c r="A5" i="37"/>
  <c r="A4" i="37"/>
  <c r="A3" i="37"/>
  <c r="D214" i="11"/>
  <c r="K21" i="59" s="1"/>
  <c r="G213" i="11"/>
  <c r="G212" i="11"/>
  <c r="E2" i="33" s="1"/>
  <c r="E199" i="33" s="1"/>
  <c r="F199" i="33" s="1"/>
  <c r="K201" i="11"/>
  <c r="E201" i="11"/>
  <c r="K200" i="11"/>
  <c r="G196" i="11"/>
  <c r="F196" i="11"/>
  <c r="E196" i="11"/>
  <c r="F194" i="11"/>
  <c r="G185" i="11"/>
  <c r="K179" i="11"/>
  <c r="G174" i="11"/>
  <c r="F174" i="11"/>
  <c r="K172" i="11"/>
  <c r="F172" i="11"/>
  <c r="K171" i="11"/>
  <c r="G163" i="11"/>
  <c r="K157" i="11"/>
  <c r="K148" i="11"/>
  <c r="K131" i="11"/>
  <c r="K127" i="11"/>
  <c r="K122" i="11"/>
  <c r="K159" i="11" s="1"/>
  <c r="K170" i="11" s="1"/>
  <c r="K115" i="11"/>
  <c r="C25" i="38" s="1"/>
  <c r="K114" i="11"/>
  <c r="V98" i="11"/>
  <c r="E8" i="53" s="1"/>
  <c r="G8" i="53" s="1"/>
  <c r="H8" i="53" s="1"/>
  <c r="U97" i="11"/>
  <c r="S97" i="11"/>
  <c r="K98" i="11"/>
  <c r="U96" i="11"/>
  <c r="S96" i="11"/>
  <c r="U95" i="11"/>
  <c r="V99" i="11" s="1"/>
  <c r="S95" i="11"/>
  <c r="S94" i="11"/>
  <c r="S87" i="11"/>
  <c r="V86" i="11"/>
  <c r="V85" i="11"/>
  <c r="S83" i="11"/>
  <c r="V83" i="11" s="1"/>
  <c r="K80" i="11"/>
  <c r="S79" i="11"/>
  <c r="V78" i="11"/>
  <c r="V77" i="11"/>
  <c r="S75" i="11"/>
  <c r="V75" i="11" s="1"/>
  <c r="G74" i="11"/>
  <c r="S71" i="11"/>
  <c r="V70" i="11"/>
  <c r="K70" i="11"/>
  <c r="V69" i="11"/>
  <c r="K69" i="11"/>
  <c r="V68" i="11"/>
  <c r="S67" i="11"/>
  <c r="V67" i="11" s="1"/>
  <c r="H66" i="11"/>
  <c r="G66" i="11"/>
  <c r="H65" i="11"/>
  <c r="G65" i="11"/>
  <c r="S63" i="11"/>
  <c r="K63" i="11"/>
  <c r="V62" i="11"/>
  <c r="K62" i="11"/>
  <c r="V61" i="11"/>
  <c r="V60" i="11"/>
  <c r="S59" i="11"/>
  <c r="V59" i="11" s="1"/>
  <c r="K53" i="11"/>
  <c r="K52" i="11"/>
  <c r="W48" i="11"/>
  <c r="K46" i="11"/>
  <c r="K45" i="11"/>
  <c r="K44" i="11"/>
  <c r="P40" i="11"/>
  <c r="K36" i="11"/>
  <c r="T36" i="11"/>
  <c r="U46" i="11"/>
  <c r="T32" i="11"/>
  <c r="T31" i="11"/>
  <c r="W30" i="11"/>
  <c r="K30" i="11"/>
  <c r="K31" i="11" s="1"/>
  <c r="K32" i="11" s="1"/>
  <c r="K34" i="11" s="1"/>
  <c r="T27" i="11"/>
  <c r="W27" i="11" s="1"/>
  <c r="M25" i="11"/>
  <c r="K25" i="11"/>
  <c r="M24" i="11"/>
  <c r="K24" i="11"/>
  <c r="K85" i="11"/>
  <c r="K87" i="11" s="1"/>
  <c r="M23" i="11"/>
  <c r="K23" i="11"/>
  <c r="K118" i="11" s="1"/>
  <c r="M22" i="11"/>
  <c r="K79" i="11"/>
  <c r="M21" i="11"/>
  <c r="M20" i="11"/>
  <c r="K38" i="11"/>
  <c r="K39" i="11" s="1"/>
  <c r="K40" i="11" s="1"/>
  <c r="K42" i="11" s="1"/>
  <c r="M19" i="11"/>
  <c r="M18" i="11"/>
  <c r="B18" i="11"/>
  <c r="B20" i="11" s="1"/>
  <c r="M17" i="11"/>
  <c r="F17" i="11"/>
  <c r="M16" i="11"/>
  <c r="K16" i="11"/>
  <c r="I16" i="11"/>
  <c r="M15" i="11"/>
  <c r="K15" i="11"/>
  <c r="I15" i="11"/>
  <c r="M14" i="11"/>
  <c r="K14" i="11"/>
  <c r="I14" i="11"/>
  <c r="M13" i="11"/>
  <c r="K13" i="11"/>
  <c r="I13" i="11"/>
  <c r="B13" i="11"/>
  <c r="B14" i="11" s="1"/>
  <c r="M12" i="11"/>
  <c r="BL31" i="33"/>
  <c r="BI23" i="33"/>
  <c r="BI24" i="33" s="1"/>
  <c r="BI25" i="33" s="1"/>
  <c r="BR20" i="33"/>
  <c r="BR19" i="33"/>
  <c r="BR18" i="33"/>
  <c r="BR17" i="33"/>
  <c r="BR16" i="33"/>
  <c r="BR15" i="33"/>
  <c r="BR14" i="33"/>
  <c r="BR13" i="33"/>
  <c r="BR12" i="33"/>
  <c r="BR11" i="33"/>
  <c r="BR10" i="33"/>
  <c r="BM6" i="33"/>
  <c r="BM5" i="33"/>
  <c r="BM4" i="33"/>
  <c r="BF3" i="33"/>
  <c r="BI23" i="15"/>
  <c r="BI24" i="15" s="1"/>
  <c r="BI25" i="15" s="1"/>
  <c r="BR20" i="15"/>
  <c r="BR19" i="15"/>
  <c r="BR18" i="15"/>
  <c r="BR17" i="15"/>
  <c r="BR16" i="15"/>
  <c r="BR15" i="15"/>
  <c r="BR14" i="15"/>
  <c r="BR13" i="15"/>
  <c r="BR12" i="15"/>
  <c r="BR11" i="15"/>
  <c r="BR10" i="15"/>
  <c r="BI10" i="15"/>
  <c r="BI11" i="15" s="1"/>
  <c r="BM6" i="15"/>
  <c r="BM5" i="15"/>
  <c r="BM4" i="15"/>
  <c r="BF3" i="15"/>
  <c r="AC6" i="45" l="1"/>
  <c r="W18" i="45"/>
  <c r="Y18" i="45" s="1"/>
  <c r="V100" i="11"/>
  <c r="I225" i="40"/>
  <c r="S5" i="45"/>
  <c r="S13" i="45" s="1"/>
  <c r="D12" i="58" s="1"/>
  <c r="F12" i="58" s="1"/>
  <c r="U12" i="37"/>
  <c r="E48" i="37"/>
  <c r="E50" i="37"/>
  <c r="L16" i="36"/>
  <c r="T16" i="36" s="1"/>
  <c r="L13" i="36"/>
  <c r="M35" i="47"/>
  <c r="K23" i="45"/>
  <c r="E15" i="37"/>
  <c r="I53" i="37"/>
  <c r="E56" i="37" s="1"/>
  <c r="AC7" i="45"/>
  <c r="M37" i="48"/>
  <c r="M37" i="47"/>
  <c r="L14" i="36"/>
  <c r="L22" i="36" s="1"/>
  <c r="Q97" i="11"/>
  <c r="V101" i="11" s="1"/>
  <c r="V102" i="11" s="1"/>
  <c r="V79" i="11" s="1"/>
  <c r="V80" i="11" s="1"/>
  <c r="V81" i="11" s="1"/>
  <c r="F21" i="11"/>
  <c r="K147" i="11" s="1"/>
  <c r="K149" i="11" s="1"/>
  <c r="K151" i="11" s="1"/>
  <c r="J15" i="37"/>
  <c r="J48" i="37"/>
  <c r="F24" i="40"/>
  <c r="I23" i="40"/>
  <c r="K23" i="40" s="1"/>
  <c r="M35" i="48"/>
  <c r="H14" i="53"/>
  <c r="H13" i="36"/>
  <c r="H18" i="36" s="1"/>
  <c r="K54" i="11"/>
  <c r="K55" i="11" s="1"/>
  <c r="K64" i="11" s="1"/>
  <c r="J35" i="37"/>
  <c r="W20" i="45"/>
  <c r="Y20" i="45" s="1"/>
  <c r="AC8" i="45"/>
  <c r="X19" i="45"/>
  <c r="Z19" i="45" s="1"/>
  <c r="X20" i="45"/>
  <c r="Z20" i="45" s="1"/>
  <c r="M51" i="51"/>
  <c r="K19" i="45"/>
  <c r="U7" i="45"/>
  <c r="U19" i="45" s="1"/>
  <c r="AC12" i="45"/>
  <c r="X24" i="45"/>
  <c r="Z24" i="45" s="1"/>
  <c r="W24" i="45"/>
  <c r="Y24" i="45" s="1"/>
  <c r="F38" i="40"/>
  <c r="I37" i="40"/>
  <c r="N39" i="51"/>
  <c r="M43" i="35"/>
  <c r="I36" i="40"/>
  <c r="A3" i="48"/>
  <c r="G26" i="51"/>
  <c r="F21" i="53"/>
  <c r="G21" i="53" s="1"/>
  <c r="H21" i="53" s="1"/>
  <c r="Y13" i="45"/>
  <c r="M44" i="35"/>
  <c r="M36" i="48"/>
  <c r="I26" i="51"/>
  <c r="F19" i="53"/>
  <c r="G19" i="53" s="1"/>
  <c r="H19" i="53" s="1"/>
  <c r="C23" i="51"/>
  <c r="J26" i="51"/>
  <c r="I98" i="40"/>
  <c r="I99" i="40" s="1"/>
  <c r="I101" i="40" s="1"/>
  <c r="C26" i="51"/>
  <c r="K26" i="51"/>
  <c r="L37" i="51"/>
  <c r="M37" i="51" s="1"/>
  <c r="F17" i="53"/>
  <c r="G17" i="53" s="1"/>
  <c r="H17" i="53" s="1"/>
  <c r="E22" i="53"/>
  <c r="G22" i="53" s="1"/>
  <c r="H22" i="53" s="1"/>
  <c r="A1" i="47"/>
  <c r="D26" i="51"/>
  <c r="L26" i="51"/>
  <c r="A3" i="47"/>
  <c r="E26" i="51"/>
  <c r="C29" i="51" s="1"/>
  <c r="M26" i="51"/>
  <c r="M48" i="51"/>
  <c r="F26" i="51"/>
  <c r="F13" i="58"/>
  <c r="J13" i="58"/>
  <c r="E2" i="15"/>
  <c r="E174" i="15" s="1"/>
  <c r="F174" i="15" s="1"/>
  <c r="K47" i="11"/>
  <c r="K48" i="11" s="1"/>
  <c r="K50" i="11" s="1"/>
  <c r="O44" i="35"/>
  <c r="Q44" i="35" s="1"/>
  <c r="E13" i="45"/>
  <c r="I359" i="40"/>
  <c r="I418" i="40" s="1"/>
  <c r="I363" i="40"/>
  <c r="I365" i="40"/>
  <c r="I198" i="40"/>
  <c r="W32" i="11"/>
  <c r="K202" i="11"/>
  <c r="K203" i="11" s="1"/>
  <c r="W31" i="11"/>
  <c r="K169" i="11"/>
  <c r="K100" i="11"/>
  <c r="I17" i="11"/>
  <c r="K17" i="11"/>
  <c r="K181" i="11" s="1"/>
  <c r="W50" i="11"/>
  <c r="B21" i="11" s="1"/>
  <c r="K124" i="11"/>
  <c r="W34" i="11"/>
  <c r="T26" i="11"/>
  <c r="W26" i="11" s="1"/>
  <c r="T35" i="11"/>
  <c r="W35" i="11" s="1"/>
  <c r="K71" i="11"/>
  <c r="C2" i="33"/>
  <c r="C189" i="33" s="1"/>
  <c r="D189" i="33" s="1"/>
  <c r="W36" i="11"/>
  <c r="K81" i="11"/>
  <c r="K82" i="11" s="1"/>
  <c r="K180" i="11"/>
  <c r="W40" i="11"/>
  <c r="E9" i="53"/>
  <c r="G9" i="53" s="1"/>
  <c r="H9" i="53" s="1"/>
  <c r="B4" i="52"/>
  <c r="K33" i="51" s="1"/>
  <c r="M33" i="51" s="1"/>
  <c r="K88" i="11"/>
  <c r="K73" i="11"/>
  <c r="B15" i="11"/>
  <c r="B16" i="11" s="1"/>
  <c r="B17" i="11"/>
  <c r="K58" i="11"/>
  <c r="T28" i="11"/>
  <c r="W28" i="11" s="1"/>
  <c r="K191" i="11"/>
  <c r="C19" i="38"/>
  <c r="C22" i="38"/>
  <c r="K158" i="11"/>
  <c r="C23" i="38"/>
  <c r="C24" i="38" s="1"/>
  <c r="C26" i="38" s="1"/>
  <c r="Q51" i="11" s="1"/>
  <c r="B19" i="11"/>
  <c r="W25" i="11"/>
  <c r="K117" i="11"/>
  <c r="K120" i="11" s="1"/>
  <c r="C2" i="15"/>
  <c r="C101" i="15" s="1"/>
  <c r="D101" i="15" s="1"/>
  <c r="M17" i="45"/>
  <c r="O17" i="45" s="1"/>
  <c r="AC5" i="45"/>
  <c r="W17" i="45"/>
  <c r="X17" i="45"/>
  <c r="I311" i="40"/>
  <c r="I336" i="40"/>
  <c r="I86" i="40"/>
  <c r="I223" i="40"/>
  <c r="I357" i="40"/>
  <c r="I335" i="40"/>
  <c r="I312" i="40"/>
  <c r="E320" i="40"/>
  <c r="I321" i="40" s="1"/>
  <c r="I283" i="40"/>
  <c r="I360" i="40"/>
  <c r="I174" i="40"/>
  <c r="I90" i="40"/>
  <c r="I91" i="40" s="1"/>
  <c r="I92" i="40" s="1"/>
  <c r="I94" i="40" s="1"/>
  <c r="E170" i="40"/>
  <c r="O287" i="40"/>
  <c r="I442" i="40"/>
  <c r="I463" i="40"/>
  <c r="I337" i="40"/>
  <c r="I364" i="40"/>
  <c r="P287" i="40"/>
  <c r="O292" i="40"/>
  <c r="I122" i="40"/>
  <c r="I123" i="40" s="1"/>
  <c r="I125" i="40" s="1"/>
  <c r="I139" i="40"/>
  <c r="O293" i="40"/>
  <c r="I185" i="40"/>
  <c r="I186" i="40" s="1"/>
  <c r="I334" i="40"/>
  <c r="I361" i="40"/>
  <c r="I192" i="40"/>
  <c r="O294" i="40"/>
  <c r="I430" i="40"/>
  <c r="I141" i="40"/>
  <c r="O288" i="40"/>
  <c r="O295" i="40"/>
  <c r="I285" i="40"/>
  <c r="I358" i="40"/>
  <c r="I362" i="40"/>
  <c r="I194" i="40"/>
  <c r="I224" i="40"/>
  <c r="I111" i="40"/>
  <c r="I114" i="40" s="1"/>
  <c r="I115" i="40" s="1"/>
  <c r="I117" i="40" s="1"/>
  <c r="P289" i="40"/>
  <c r="E151" i="40"/>
  <c r="N25" i="45"/>
  <c r="N28" i="45" s="1"/>
  <c r="P18" i="45"/>
  <c r="P25" i="45" s="1"/>
  <c r="N30" i="45" s="1"/>
  <c r="D41" i="58" s="1"/>
  <c r="J41" i="58" s="1"/>
  <c r="O13" i="45"/>
  <c r="M18" i="45"/>
  <c r="I5" i="45"/>
  <c r="C17" i="45" s="1"/>
  <c r="E17" i="45"/>
  <c r="G17" i="45" s="1"/>
  <c r="I133" i="40"/>
  <c r="I134" i="40" s="1"/>
  <c r="I136" i="40" s="1"/>
  <c r="I250" i="40"/>
  <c r="I249" i="40"/>
  <c r="I439" i="40"/>
  <c r="I149" i="40"/>
  <c r="I152" i="40" s="1"/>
  <c r="I153" i="40" s="1"/>
  <c r="I154" i="40" s="1"/>
  <c r="I156" i="40"/>
  <c r="I170" i="40"/>
  <c r="E208" i="40"/>
  <c r="O290" i="40"/>
  <c r="P292" i="40"/>
  <c r="P295" i="40"/>
  <c r="E194" i="40"/>
  <c r="I208" i="40"/>
  <c r="I209" i="40" s="1"/>
  <c r="P290" i="40"/>
  <c r="I293" i="40"/>
  <c r="I331" i="40" s="1"/>
  <c r="I158" i="40"/>
  <c r="I226" i="40"/>
  <c r="I271" i="40"/>
  <c r="P293" i="40"/>
  <c r="E104" i="40"/>
  <c r="P288" i="40"/>
  <c r="O291" i="40"/>
  <c r="I451" i="40"/>
  <c r="E97" i="40"/>
  <c r="I104" i="40"/>
  <c r="I105" i="40" s="1"/>
  <c r="I106" i="40" s="1"/>
  <c r="I108" i="40" s="1"/>
  <c r="I168" i="40"/>
  <c r="P291" i="40"/>
  <c r="I420" i="40"/>
  <c r="O289" i="40"/>
  <c r="L94" i="58"/>
  <c r="H51" i="58"/>
  <c r="I51" i="58" s="1"/>
  <c r="L54" i="58"/>
  <c r="L109" i="58"/>
  <c r="H52" i="58"/>
  <c r="I52" i="58" s="1"/>
  <c r="BO13" i="15"/>
  <c r="BQ13" i="15" s="1"/>
  <c r="BS13" i="15" s="1"/>
  <c r="BO13" i="33"/>
  <c r="BQ13" i="33" s="1"/>
  <c r="BS13" i="33" s="1"/>
  <c r="BO19" i="33"/>
  <c r="BQ19" i="33" s="1"/>
  <c r="BS19" i="33" s="1"/>
  <c r="BO12" i="15"/>
  <c r="BQ12" i="15" s="1"/>
  <c r="BS12" i="15" s="1"/>
  <c r="E71" i="33"/>
  <c r="F71" i="33" s="1"/>
  <c r="E9" i="33"/>
  <c r="F9" i="33" s="1"/>
  <c r="E50" i="33"/>
  <c r="F50" i="33" s="1"/>
  <c r="BO11" i="15"/>
  <c r="BQ11" i="15" s="1"/>
  <c r="BS11" i="15" s="1"/>
  <c r="E19" i="33"/>
  <c r="F19" i="33" s="1"/>
  <c r="E65" i="33"/>
  <c r="F65" i="33" s="1"/>
  <c r="E100" i="33"/>
  <c r="F100" i="33" s="1"/>
  <c r="BO14" i="33"/>
  <c r="BQ14" i="33" s="1"/>
  <c r="BS14" i="33" s="1"/>
  <c r="E81" i="33"/>
  <c r="F81" i="33" s="1"/>
  <c r="E135" i="33"/>
  <c r="F135" i="33" s="1"/>
  <c r="E5" i="33"/>
  <c r="F5" i="33" s="1"/>
  <c r="E18" i="33"/>
  <c r="F18" i="33" s="1"/>
  <c r="E75" i="33"/>
  <c r="F75" i="33" s="1"/>
  <c r="BO11" i="33"/>
  <c r="BQ11" i="33" s="1"/>
  <c r="BS11" i="33" s="1"/>
  <c r="BO15" i="33"/>
  <c r="BQ15" i="33" s="1"/>
  <c r="BS15" i="33" s="1"/>
  <c r="E36" i="33"/>
  <c r="F36" i="33" s="1"/>
  <c r="E154" i="33"/>
  <c r="F154" i="33" s="1"/>
  <c r="H17" i="58"/>
  <c r="I17" i="58" s="1"/>
  <c r="I48" i="58"/>
  <c r="L87" i="58"/>
  <c r="K100" i="58"/>
  <c r="L102" i="58"/>
  <c r="L103" i="58"/>
  <c r="L86" i="58"/>
  <c r="L108" i="58"/>
  <c r="K58" i="58"/>
  <c r="I58" i="58"/>
  <c r="L89" i="58"/>
  <c r="L96" i="58"/>
  <c r="L58" i="58"/>
  <c r="L111" i="58"/>
  <c r="L106" i="58"/>
  <c r="K108" i="58"/>
  <c r="K115" i="58"/>
  <c r="K48" i="58"/>
  <c r="F59" i="58"/>
  <c r="K88" i="58"/>
  <c r="L93" i="58"/>
  <c r="L101" i="58"/>
  <c r="K104" i="58"/>
  <c r="L107" i="58"/>
  <c r="H21" i="58"/>
  <c r="L21" i="58" s="1"/>
  <c r="H43" i="58"/>
  <c r="I43" i="58" s="1"/>
  <c r="L53" i="58"/>
  <c r="K57" i="58"/>
  <c r="K85" i="58"/>
  <c r="L90" i="58"/>
  <c r="L98" i="58"/>
  <c r="L104" i="58"/>
  <c r="H40" i="58"/>
  <c r="K40" i="58" s="1"/>
  <c r="L56" i="58"/>
  <c r="I108" i="58"/>
  <c r="H13" i="58"/>
  <c r="I13" i="58" s="1"/>
  <c r="G13" i="58"/>
  <c r="H20" i="58"/>
  <c r="I20" i="58" s="1"/>
  <c r="H37" i="58"/>
  <c r="L37" i="58" s="1"/>
  <c r="L16" i="58"/>
  <c r="L57" i="58"/>
  <c r="K107" i="58"/>
  <c r="K120" i="58"/>
  <c r="K94" i="58"/>
  <c r="K109" i="58"/>
  <c r="L120" i="58"/>
  <c r="H19" i="61"/>
  <c r="I19" i="61" s="1"/>
  <c r="K89" i="58"/>
  <c r="I120" i="58"/>
  <c r="L88" i="58"/>
  <c r="H34" i="58"/>
  <c r="I34" i="58" s="1"/>
  <c r="K53" i="58"/>
  <c r="E6" i="15"/>
  <c r="F6" i="15" s="1"/>
  <c r="E90" i="15"/>
  <c r="F90" i="15" s="1"/>
  <c r="E200" i="15"/>
  <c r="F200" i="15" s="1"/>
  <c r="K96" i="58"/>
  <c r="BO14" i="15"/>
  <c r="BQ14" i="15" s="1"/>
  <c r="BS14" i="15" s="1"/>
  <c r="BO19" i="15"/>
  <c r="BQ19" i="15" s="1"/>
  <c r="BS19" i="15" s="1"/>
  <c r="BO10" i="15"/>
  <c r="BQ10" i="15" s="1"/>
  <c r="BS10" i="15" s="1"/>
  <c r="E30" i="15"/>
  <c r="F30" i="15" s="1"/>
  <c r="E34" i="15"/>
  <c r="F34" i="15" s="1"/>
  <c r="E105" i="15"/>
  <c r="F105" i="15" s="1"/>
  <c r="E11" i="33"/>
  <c r="F11" i="33" s="1"/>
  <c r="E26" i="33"/>
  <c r="F26" i="33" s="1"/>
  <c r="E38" i="33"/>
  <c r="F38" i="33" s="1"/>
  <c r="E54" i="33"/>
  <c r="F54" i="33" s="1"/>
  <c r="E78" i="33"/>
  <c r="F78" i="33" s="1"/>
  <c r="E108" i="33"/>
  <c r="F108" i="33" s="1"/>
  <c r="E153" i="33"/>
  <c r="F153" i="33" s="1"/>
  <c r="E128" i="15"/>
  <c r="F128" i="15" s="1"/>
  <c r="E89" i="15"/>
  <c r="F89" i="15" s="1"/>
  <c r="E92" i="15"/>
  <c r="F92" i="15" s="1"/>
  <c r="E133" i="15"/>
  <c r="F133" i="15" s="1"/>
  <c r="L95" i="58"/>
  <c r="K95" i="58"/>
  <c r="BO18" i="15"/>
  <c r="BQ18" i="15" s="1"/>
  <c r="BS18" i="15" s="1"/>
  <c r="E85" i="15"/>
  <c r="F85" i="15" s="1"/>
  <c r="E99" i="15"/>
  <c r="F99" i="15" s="1"/>
  <c r="K111" i="58"/>
  <c r="E136" i="15"/>
  <c r="F136" i="15" s="1"/>
  <c r="E102" i="15"/>
  <c r="F102" i="15" s="1"/>
  <c r="E77" i="15"/>
  <c r="F77" i="15" s="1"/>
  <c r="E29" i="15"/>
  <c r="F29" i="15" s="1"/>
  <c r="E22" i="15"/>
  <c r="F22" i="15" s="1"/>
  <c r="E168" i="15"/>
  <c r="F168" i="15" s="1"/>
  <c r="E126" i="15"/>
  <c r="F126" i="15" s="1"/>
  <c r="E79" i="15"/>
  <c r="F79" i="15" s="1"/>
  <c r="E76" i="15"/>
  <c r="F76" i="15" s="1"/>
  <c r="E38" i="15"/>
  <c r="F38" i="15" s="1"/>
  <c r="E35" i="15"/>
  <c r="F35" i="15" s="1"/>
  <c r="E181" i="15"/>
  <c r="F181" i="15" s="1"/>
  <c r="E96" i="15"/>
  <c r="F96" i="15" s="1"/>
  <c r="E86" i="15"/>
  <c r="F86" i="15" s="1"/>
  <c r="E82" i="15"/>
  <c r="F82" i="15" s="1"/>
  <c r="E58" i="15"/>
  <c r="F58" i="15" s="1"/>
  <c r="E32" i="15"/>
  <c r="F32" i="15" s="1"/>
  <c r="L99" i="58"/>
  <c r="K99" i="58"/>
  <c r="E5" i="15"/>
  <c r="F5" i="15" s="1"/>
  <c r="E10" i="15"/>
  <c r="F10" i="15" s="1"/>
  <c r="E28" i="15"/>
  <c r="F28" i="15" s="1"/>
  <c r="E69" i="15"/>
  <c r="F69" i="15" s="1"/>
  <c r="E124" i="15"/>
  <c r="F124" i="15" s="1"/>
  <c r="E134" i="15"/>
  <c r="F134" i="15" s="1"/>
  <c r="E197" i="33"/>
  <c r="F197" i="33" s="1"/>
  <c r="E151" i="33"/>
  <c r="F151" i="33" s="1"/>
  <c r="E115" i="33"/>
  <c r="F115" i="33" s="1"/>
  <c r="E92" i="33"/>
  <c r="F92" i="33" s="1"/>
  <c r="E76" i="33"/>
  <c r="F76" i="33" s="1"/>
  <c r="E60" i="33"/>
  <c r="F60" i="33" s="1"/>
  <c r="E52" i="33"/>
  <c r="F52" i="33" s="1"/>
  <c r="E25" i="33"/>
  <c r="F25" i="33" s="1"/>
  <c r="E10" i="33"/>
  <c r="F10" i="33" s="1"/>
  <c r="E132" i="33"/>
  <c r="F132" i="33" s="1"/>
  <c r="E114" i="33"/>
  <c r="F114" i="33" s="1"/>
  <c r="E161" i="33"/>
  <c r="F161" i="33" s="1"/>
  <c r="E147" i="33"/>
  <c r="F147" i="33" s="1"/>
  <c r="E130" i="33"/>
  <c r="F130" i="33" s="1"/>
  <c r="E113" i="33"/>
  <c r="F113" i="33" s="1"/>
  <c r="E99" i="33"/>
  <c r="F99" i="33" s="1"/>
  <c r="E89" i="33"/>
  <c r="F89" i="33" s="1"/>
  <c r="E73" i="33"/>
  <c r="F73" i="33" s="1"/>
  <c r="E158" i="33"/>
  <c r="F158" i="33" s="1"/>
  <c r="E129" i="33"/>
  <c r="F129" i="33" s="1"/>
  <c r="E111" i="33"/>
  <c r="F111" i="33" s="1"/>
  <c r="E87" i="33"/>
  <c r="F87" i="33" s="1"/>
  <c r="E72" i="33"/>
  <c r="F72" i="33" s="1"/>
  <c r="E46" i="33"/>
  <c r="F46" i="33" s="1"/>
  <c r="E183" i="33"/>
  <c r="F183" i="33" s="1"/>
  <c r="E142" i="33"/>
  <c r="F142" i="33" s="1"/>
  <c r="E124" i="33"/>
  <c r="F124" i="33" s="1"/>
  <c r="E203" i="33"/>
  <c r="F203" i="33" s="1"/>
  <c r="E179" i="33"/>
  <c r="F179" i="33" s="1"/>
  <c r="E156" i="33"/>
  <c r="F156" i="33" s="1"/>
  <c r="E139" i="33"/>
  <c r="F139" i="33" s="1"/>
  <c r="E110" i="33"/>
  <c r="F110" i="33" s="1"/>
  <c r="E86" i="33"/>
  <c r="F86" i="33" s="1"/>
  <c r="E67" i="33"/>
  <c r="F67" i="33" s="1"/>
  <c r="E28" i="33"/>
  <c r="F28" i="33" s="1"/>
  <c r="E13" i="33"/>
  <c r="F13" i="33" s="1"/>
  <c r="E7" i="33"/>
  <c r="F7" i="33" s="1"/>
  <c r="E12" i="33"/>
  <c r="F12" i="33" s="1"/>
  <c r="E21" i="33"/>
  <c r="F21" i="33" s="1"/>
  <c r="E31" i="33"/>
  <c r="F31" i="33" s="1"/>
  <c r="E42" i="33"/>
  <c r="F42" i="33" s="1"/>
  <c r="E90" i="33"/>
  <c r="F90" i="33" s="1"/>
  <c r="E118" i="33"/>
  <c r="F118" i="33" s="1"/>
  <c r="L14" i="58"/>
  <c r="K14" i="58"/>
  <c r="E64" i="15"/>
  <c r="F64" i="15" s="1"/>
  <c r="E165" i="15"/>
  <c r="F165" i="15" s="1"/>
  <c r="E177" i="15"/>
  <c r="F177" i="15" s="1"/>
  <c r="K56" i="58"/>
  <c r="L91" i="58"/>
  <c r="K91" i="58"/>
  <c r="L100" i="58"/>
  <c r="K103" i="58"/>
  <c r="E21" i="15"/>
  <c r="F21" i="15" s="1"/>
  <c r="E101" i="15"/>
  <c r="F101" i="15" s="1"/>
  <c r="E117" i="15"/>
  <c r="F117" i="15" s="1"/>
  <c r="C190" i="15"/>
  <c r="D190" i="15" s="1"/>
  <c r="C64" i="15"/>
  <c r="D64" i="15" s="1"/>
  <c r="C43" i="15"/>
  <c r="D43" i="15" s="1"/>
  <c r="C31" i="15"/>
  <c r="D31" i="15" s="1"/>
  <c r="C111" i="15"/>
  <c r="D111" i="15" s="1"/>
  <c r="BD32" i="15"/>
  <c r="BF32" i="15" s="1"/>
  <c r="C28" i="15"/>
  <c r="D28" i="15" s="1"/>
  <c r="C120" i="15"/>
  <c r="D120" i="15" s="1"/>
  <c r="C35" i="15"/>
  <c r="D35" i="15" s="1"/>
  <c r="BD19" i="15"/>
  <c r="BF19" i="15" s="1"/>
  <c r="C25" i="15"/>
  <c r="D25" i="15" s="1"/>
  <c r="E54" i="15"/>
  <c r="F54" i="15" s="1"/>
  <c r="E59" i="15"/>
  <c r="F59" i="15" s="1"/>
  <c r="E88" i="15"/>
  <c r="F88" i="15" s="1"/>
  <c r="E95" i="15"/>
  <c r="F95" i="15" s="1"/>
  <c r="E167" i="15"/>
  <c r="F167" i="15" s="1"/>
  <c r="E33" i="33"/>
  <c r="F33" i="33" s="1"/>
  <c r="E94" i="33"/>
  <c r="F94" i="33" s="1"/>
  <c r="E175" i="33"/>
  <c r="F175" i="33" s="1"/>
  <c r="L48" i="58"/>
  <c r="BO10" i="33"/>
  <c r="BQ10" i="33" s="1"/>
  <c r="BS10" i="33" s="1"/>
  <c r="BO17" i="33"/>
  <c r="BQ17" i="33" s="1"/>
  <c r="BS17" i="33" s="1"/>
  <c r="H44" i="58"/>
  <c r="L44" i="58" s="1"/>
  <c r="K90" i="58"/>
  <c r="K119" i="58"/>
  <c r="S99" i="35"/>
  <c r="BO18" i="33"/>
  <c r="BQ18" i="33" s="1"/>
  <c r="BS18" i="33" s="1"/>
  <c r="L85" i="58"/>
  <c r="L117" i="58"/>
  <c r="BI12" i="15"/>
  <c r="BO15" i="15"/>
  <c r="BQ15" i="15" s="1"/>
  <c r="BS15" i="15" s="1"/>
  <c r="BO20" i="15"/>
  <c r="BQ20" i="15" s="1"/>
  <c r="BS20" i="15" s="1"/>
  <c r="BO16" i="15"/>
  <c r="BQ16" i="15" s="1"/>
  <c r="BS16" i="15" s="1"/>
  <c r="BO17" i="15"/>
  <c r="BQ17" i="15" s="1"/>
  <c r="BS17" i="15" s="1"/>
  <c r="C33" i="15"/>
  <c r="D33" i="15" s="1"/>
  <c r="C205" i="15"/>
  <c r="D205" i="15" s="1"/>
  <c r="C201" i="15"/>
  <c r="D201" i="15" s="1"/>
  <c r="C193" i="15"/>
  <c r="D193" i="15" s="1"/>
  <c r="C185" i="15"/>
  <c r="D185" i="15" s="1"/>
  <c r="C183" i="15"/>
  <c r="D183" i="15" s="1"/>
  <c r="C175" i="15"/>
  <c r="D175" i="15" s="1"/>
  <c r="C167" i="15"/>
  <c r="D167" i="15" s="1"/>
  <c r="C165" i="15"/>
  <c r="D165" i="15" s="1"/>
  <c r="C157" i="15"/>
  <c r="D157" i="15" s="1"/>
  <c r="C151" i="15"/>
  <c r="D151" i="15" s="1"/>
  <c r="C149" i="15"/>
  <c r="D149" i="15" s="1"/>
  <c r="C141" i="15"/>
  <c r="D141" i="15" s="1"/>
  <c r="C135" i="15"/>
  <c r="D135" i="15" s="1"/>
  <c r="C133" i="15"/>
  <c r="D133" i="15" s="1"/>
  <c r="C125" i="15"/>
  <c r="D125" i="15" s="1"/>
  <c r="C119" i="15"/>
  <c r="D119" i="15" s="1"/>
  <c r="C117" i="15"/>
  <c r="D117" i="15" s="1"/>
  <c r="C196" i="15"/>
  <c r="D196" i="15" s="1"/>
  <c r="C152" i="15"/>
  <c r="D152" i="15" s="1"/>
  <c r="C136" i="15"/>
  <c r="D136" i="15" s="1"/>
  <c r="C160" i="15"/>
  <c r="D160" i="15" s="1"/>
  <c r="C112" i="15"/>
  <c r="D112" i="15" s="1"/>
  <c r="C110" i="15"/>
  <c r="D110" i="15" s="1"/>
  <c r="C102" i="15"/>
  <c r="D102" i="15" s="1"/>
  <c r="C96" i="15"/>
  <c r="D96" i="15" s="1"/>
  <c r="C94" i="15"/>
  <c r="D94" i="15" s="1"/>
  <c r="C86" i="15"/>
  <c r="D86" i="15" s="1"/>
  <c r="C80" i="15"/>
  <c r="D80" i="15" s="1"/>
  <c r="C178" i="15"/>
  <c r="D178" i="15" s="1"/>
  <c r="BD6" i="15"/>
  <c r="BF6" i="15" s="1"/>
  <c r="BE27" i="15"/>
  <c r="BD34" i="15"/>
  <c r="BF34" i="15" s="1"/>
  <c r="C164" i="15"/>
  <c r="D164" i="15" s="1"/>
  <c r="C202" i="15"/>
  <c r="D202" i="15" s="1"/>
  <c r="C10" i="33"/>
  <c r="D10" i="33" s="1"/>
  <c r="C26" i="33"/>
  <c r="D26" i="33" s="1"/>
  <c r="E201" i="15"/>
  <c r="F201" i="15" s="1"/>
  <c r="E198" i="15"/>
  <c r="F198" i="15" s="1"/>
  <c r="E193" i="15"/>
  <c r="F193" i="15" s="1"/>
  <c r="E188" i="15"/>
  <c r="F188" i="15" s="1"/>
  <c r="E179" i="15"/>
  <c r="F179" i="15" s="1"/>
  <c r="E172" i="15"/>
  <c r="F172" i="15" s="1"/>
  <c r="E163" i="15"/>
  <c r="F163" i="15" s="1"/>
  <c r="E156" i="15"/>
  <c r="F156" i="15" s="1"/>
  <c r="E147" i="15"/>
  <c r="F147" i="15" s="1"/>
  <c r="E140" i="15"/>
  <c r="F140" i="15" s="1"/>
  <c r="E205" i="15"/>
  <c r="F205" i="15" s="1"/>
  <c r="E202" i="15"/>
  <c r="F202" i="15" s="1"/>
  <c r="E197" i="15"/>
  <c r="F197" i="15" s="1"/>
  <c r="E194" i="15"/>
  <c r="F194" i="15" s="1"/>
  <c r="E187" i="15"/>
  <c r="F187" i="15" s="1"/>
  <c r="E180" i="15"/>
  <c r="F180" i="15" s="1"/>
  <c r="E171" i="15"/>
  <c r="F171" i="15" s="1"/>
  <c r="E164" i="15"/>
  <c r="F164" i="15" s="1"/>
  <c r="E155" i="15"/>
  <c r="F155" i="15" s="1"/>
  <c r="E148" i="15"/>
  <c r="F148" i="15" s="1"/>
  <c r="E139" i="15"/>
  <c r="F139" i="15" s="1"/>
  <c r="E132" i="15"/>
  <c r="F132" i="15" s="1"/>
  <c r="E123" i="15"/>
  <c r="F123" i="15" s="1"/>
  <c r="E116" i="15"/>
  <c r="F116" i="15" s="1"/>
  <c r="E189" i="15"/>
  <c r="F189" i="15" s="1"/>
  <c r="E182" i="15"/>
  <c r="F182" i="15" s="1"/>
  <c r="E173" i="15"/>
  <c r="F173" i="15" s="1"/>
  <c r="E166" i="15"/>
  <c r="F166" i="15" s="1"/>
  <c r="E157" i="15"/>
  <c r="F157" i="15" s="1"/>
  <c r="E150" i="15"/>
  <c r="F150" i="15" s="1"/>
  <c r="E141" i="15"/>
  <c r="F141" i="15" s="1"/>
  <c r="E9" i="15"/>
  <c r="F9" i="15" s="1"/>
  <c r="E13" i="15"/>
  <c r="F13" i="15" s="1"/>
  <c r="E15" i="15"/>
  <c r="F15" i="15" s="1"/>
  <c r="BD16" i="15"/>
  <c r="BF16" i="15" s="1"/>
  <c r="C20" i="15"/>
  <c r="D20" i="15" s="1"/>
  <c r="E23" i="15"/>
  <c r="F23" i="15" s="1"/>
  <c r="E24" i="15"/>
  <c r="F24" i="15" s="1"/>
  <c r="E25" i="15"/>
  <c r="F25" i="15" s="1"/>
  <c r="E26" i="15"/>
  <c r="F26" i="15" s="1"/>
  <c r="C32" i="15"/>
  <c r="D32" i="15" s="1"/>
  <c r="BE34" i="15"/>
  <c r="E84" i="15"/>
  <c r="F84" i="15" s="1"/>
  <c r="E93" i="15"/>
  <c r="F93" i="15" s="1"/>
  <c r="E100" i="15"/>
  <c r="F100" i="15" s="1"/>
  <c r="C105" i="15"/>
  <c r="D105" i="15" s="1"/>
  <c r="E109" i="15"/>
  <c r="F109" i="15" s="1"/>
  <c r="E114" i="15"/>
  <c r="F114" i="15" s="1"/>
  <c r="E127" i="15"/>
  <c r="F127" i="15" s="1"/>
  <c r="E135" i="15"/>
  <c r="F135" i="15" s="1"/>
  <c r="E142" i="15"/>
  <c r="F142" i="15" s="1"/>
  <c r="E146" i="15"/>
  <c r="F146" i="15" s="1"/>
  <c r="C150" i="15"/>
  <c r="D150" i="15" s="1"/>
  <c r="E175" i="15"/>
  <c r="F175" i="15" s="1"/>
  <c r="E186" i="15"/>
  <c r="F186" i="15" s="1"/>
  <c r="C170" i="33"/>
  <c r="D170" i="33" s="1"/>
  <c r="K92" i="58"/>
  <c r="L92" i="58"/>
  <c r="I47" i="58"/>
  <c r="K54" i="58"/>
  <c r="K87" i="58"/>
  <c r="L114" i="58"/>
  <c r="K114" i="58"/>
  <c r="K116" i="58"/>
  <c r="L116" i="58"/>
  <c r="I116" i="58"/>
  <c r="I16" i="58"/>
  <c r="K16" i="58"/>
  <c r="E15" i="33"/>
  <c r="F15" i="33" s="1"/>
  <c r="E17" i="33"/>
  <c r="F17" i="33" s="1"/>
  <c r="E44" i="33"/>
  <c r="F44" i="33" s="1"/>
  <c r="E58" i="33"/>
  <c r="F58" i="33" s="1"/>
  <c r="E62" i="33"/>
  <c r="F62" i="33" s="1"/>
  <c r="E66" i="33"/>
  <c r="F66" i="33" s="1"/>
  <c r="E83" i="33"/>
  <c r="F83" i="33" s="1"/>
  <c r="E97" i="33"/>
  <c r="F97" i="33" s="1"/>
  <c r="E107" i="33"/>
  <c r="F107" i="33" s="1"/>
  <c r="E121" i="33"/>
  <c r="F121" i="33" s="1"/>
  <c r="E126" i="33"/>
  <c r="F126" i="33" s="1"/>
  <c r="E131" i="33"/>
  <c r="F131" i="33" s="1"/>
  <c r="E140" i="33"/>
  <c r="F140" i="33" s="1"/>
  <c r="E145" i="33"/>
  <c r="F145" i="33" s="1"/>
  <c r="E150" i="33"/>
  <c r="F150" i="33" s="1"/>
  <c r="E189" i="33"/>
  <c r="F189" i="33" s="1"/>
  <c r="E6" i="33"/>
  <c r="F6" i="33" s="1"/>
  <c r="E24" i="33"/>
  <c r="F24" i="33" s="1"/>
  <c r="E30" i="33"/>
  <c r="F30" i="33" s="1"/>
  <c r="E79" i="33"/>
  <c r="F79" i="33" s="1"/>
  <c r="E98" i="33"/>
  <c r="F98" i="33" s="1"/>
  <c r="E103" i="33"/>
  <c r="F103" i="33" s="1"/>
  <c r="E122" i="33"/>
  <c r="F122" i="33" s="1"/>
  <c r="E146" i="33"/>
  <c r="F146" i="33" s="1"/>
  <c r="E165" i="33"/>
  <c r="F165" i="33" s="1"/>
  <c r="H18" i="58"/>
  <c r="E204" i="33"/>
  <c r="F204" i="33" s="1"/>
  <c r="E202" i="33"/>
  <c r="F202" i="33" s="1"/>
  <c r="E200" i="33"/>
  <c r="F200" i="33" s="1"/>
  <c r="E198" i="33"/>
  <c r="F198" i="33" s="1"/>
  <c r="E196" i="33"/>
  <c r="F196" i="33" s="1"/>
  <c r="E194" i="33"/>
  <c r="F194" i="33" s="1"/>
  <c r="E192" i="33"/>
  <c r="F192" i="33" s="1"/>
  <c r="E190" i="33"/>
  <c r="F190" i="33" s="1"/>
  <c r="E188" i="33"/>
  <c r="F188" i="33" s="1"/>
  <c r="E186" i="33"/>
  <c r="F186" i="33" s="1"/>
  <c r="E184" i="33"/>
  <c r="F184" i="33" s="1"/>
  <c r="E182" i="33"/>
  <c r="F182" i="33" s="1"/>
  <c r="E180" i="33"/>
  <c r="F180" i="33" s="1"/>
  <c r="E178" i="33"/>
  <c r="F178" i="33" s="1"/>
  <c r="E176" i="33"/>
  <c r="F176" i="33" s="1"/>
  <c r="E174" i="33"/>
  <c r="F174" i="33" s="1"/>
  <c r="E172" i="33"/>
  <c r="F172" i="33" s="1"/>
  <c r="E170" i="33"/>
  <c r="F170" i="33" s="1"/>
  <c r="E168" i="33"/>
  <c r="F168" i="33" s="1"/>
  <c r="E166" i="33"/>
  <c r="F166" i="33" s="1"/>
  <c r="E201" i="33"/>
  <c r="F201" i="33" s="1"/>
  <c r="E193" i="33"/>
  <c r="F193" i="33" s="1"/>
  <c r="E185" i="33"/>
  <c r="F185" i="33" s="1"/>
  <c r="E177" i="33"/>
  <c r="F177" i="33" s="1"/>
  <c r="E169" i="33"/>
  <c r="F169" i="33" s="1"/>
  <c r="E164" i="33"/>
  <c r="F164" i="33" s="1"/>
  <c r="E205" i="33"/>
  <c r="F205" i="33" s="1"/>
  <c r="E191" i="33"/>
  <c r="F191" i="33" s="1"/>
  <c r="E187" i="33"/>
  <c r="F187" i="33" s="1"/>
  <c r="E173" i="33"/>
  <c r="F173" i="33" s="1"/>
  <c r="E160" i="33"/>
  <c r="F160" i="33" s="1"/>
  <c r="E157" i="33"/>
  <c r="F157" i="33" s="1"/>
  <c r="E152" i="33"/>
  <c r="F152" i="33" s="1"/>
  <c r="E149" i="33"/>
  <c r="F149" i="33" s="1"/>
  <c r="E144" i="33"/>
  <c r="F144" i="33" s="1"/>
  <c r="E141" i="33"/>
  <c r="F141" i="33" s="1"/>
  <c r="E136" i="33"/>
  <c r="F136" i="33" s="1"/>
  <c r="E133" i="33"/>
  <c r="F133" i="33" s="1"/>
  <c r="E128" i="33"/>
  <c r="F128" i="33" s="1"/>
  <c r="E125" i="33"/>
  <c r="F125" i="33" s="1"/>
  <c r="E120" i="33"/>
  <c r="F120" i="33" s="1"/>
  <c r="E117" i="33"/>
  <c r="F117" i="33" s="1"/>
  <c r="E112" i="33"/>
  <c r="F112" i="33" s="1"/>
  <c r="E109" i="33"/>
  <c r="F109" i="33" s="1"/>
  <c r="E104" i="33"/>
  <c r="F104" i="33" s="1"/>
  <c r="E101" i="33"/>
  <c r="F101" i="33" s="1"/>
  <c r="E96" i="33"/>
  <c r="F96" i="33" s="1"/>
  <c r="E93" i="33"/>
  <c r="F93" i="33" s="1"/>
  <c r="E88" i="33"/>
  <c r="F88" i="33" s="1"/>
  <c r="E85" i="33"/>
  <c r="F85" i="33" s="1"/>
  <c r="E80" i="33"/>
  <c r="F80" i="33" s="1"/>
  <c r="E77" i="33"/>
  <c r="F77" i="33" s="1"/>
  <c r="E70" i="33"/>
  <c r="F70" i="33" s="1"/>
  <c r="E63" i="33"/>
  <c r="F63" i="33" s="1"/>
  <c r="E61" i="33"/>
  <c r="F61" i="33" s="1"/>
  <c r="E59" i="33"/>
  <c r="F59" i="33" s="1"/>
  <c r="E57" i="33"/>
  <c r="F57" i="33" s="1"/>
  <c r="E55" i="33"/>
  <c r="F55" i="33" s="1"/>
  <c r="E53" i="33"/>
  <c r="F53" i="33" s="1"/>
  <c r="E51" i="33"/>
  <c r="F51" i="33" s="1"/>
  <c r="E49" i="33"/>
  <c r="F49" i="33" s="1"/>
  <c r="E47" i="33"/>
  <c r="F47" i="33" s="1"/>
  <c r="E45" i="33"/>
  <c r="F45" i="33" s="1"/>
  <c r="E43" i="33"/>
  <c r="F43" i="33" s="1"/>
  <c r="E41" i="33"/>
  <c r="F41" i="33" s="1"/>
  <c r="E39" i="33"/>
  <c r="F39" i="33" s="1"/>
  <c r="E37" i="33"/>
  <c r="F37" i="33" s="1"/>
  <c r="E29" i="33"/>
  <c r="F29" i="33" s="1"/>
  <c r="E162" i="33"/>
  <c r="F162" i="33" s="1"/>
  <c r="E69" i="33"/>
  <c r="F69" i="33" s="1"/>
  <c r="E35" i="33"/>
  <c r="F35" i="33" s="1"/>
  <c r="E27" i="33"/>
  <c r="F27" i="33" s="1"/>
  <c r="E22" i="33"/>
  <c r="F22" i="33" s="1"/>
  <c r="E16" i="33"/>
  <c r="F16" i="33" s="1"/>
  <c r="E163" i="33"/>
  <c r="F163" i="33" s="1"/>
  <c r="E159" i="33"/>
  <c r="F159" i="33" s="1"/>
  <c r="E138" i="33"/>
  <c r="F138" i="33" s="1"/>
  <c r="E127" i="33"/>
  <c r="F127" i="33" s="1"/>
  <c r="E106" i="33"/>
  <c r="F106" i="33" s="1"/>
  <c r="E95" i="33"/>
  <c r="F95" i="33" s="1"/>
  <c r="E74" i="33"/>
  <c r="F74" i="33" s="1"/>
  <c r="E68" i="33"/>
  <c r="F68" i="33" s="1"/>
  <c r="E34" i="33"/>
  <c r="F34" i="33" s="1"/>
  <c r="E32" i="33"/>
  <c r="F32" i="33" s="1"/>
  <c r="E8" i="33"/>
  <c r="F8" i="33" s="1"/>
  <c r="E195" i="33"/>
  <c r="F195" i="33" s="1"/>
  <c r="E181" i="33"/>
  <c r="F181" i="33" s="1"/>
  <c r="E171" i="33"/>
  <c r="F171" i="33" s="1"/>
  <c r="E167" i="33"/>
  <c r="F167" i="33" s="1"/>
  <c r="E155" i="33"/>
  <c r="F155" i="33" s="1"/>
  <c r="E148" i="33"/>
  <c r="F148" i="33" s="1"/>
  <c r="E137" i="33"/>
  <c r="F137" i="33" s="1"/>
  <c r="E134" i="33"/>
  <c r="F134" i="33" s="1"/>
  <c r="E123" i="33"/>
  <c r="F123" i="33" s="1"/>
  <c r="E116" i="33"/>
  <c r="F116" i="33" s="1"/>
  <c r="E105" i="33"/>
  <c r="F105" i="33" s="1"/>
  <c r="E102" i="33"/>
  <c r="F102" i="33" s="1"/>
  <c r="E91" i="33"/>
  <c r="F91" i="33" s="1"/>
  <c r="E84" i="33"/>
  <c r="F84" i="33" s="1"/>
  <c r="E56" i="33"/>
  <c r="F56" i="33" s="1"/>
  <c r="E48" i="33"/>
  <c r="F48" i="33" s="1"/>
  <c r="E40" i="33"/>
  <c r="F40" i="33" s="1"/>
  <c r="E23" i="33"/>
  <c r="F23" i="33" s="1"/>
  <c r="E14" i="33"/>
  <c r="F14" i="33" s="1"/>
  <c r="E20" i="33"/>
  <c r="F20" i="33" s="1"/>
  <c r="E64" i="33"/>
  <c r="F64" i="33" s="1"/>
  <c r="E82" i="33"/>
  <c r="F82" i="33" s="1"/>
  <c r="E119" i="33"/>
  <c r="F119" i="33" s="1"/>
  <c r="E143" i="33"/>
  <c r="F143" i="33" s="1"/>
  <c r="BO16" i="33"/>
  <c r="BQ16" i="33" s="1"/>
  <c r="BS16" i="33" s="1"/>
  <c r="BO12" i="33"/>
  <c r="BQ12" i="33" s="1"/>
  <c r="BS12" i="33" s="1"/>
  <c r="BO20" i="33"/>
  <c r="BQ20" i="33" s="1"/>
  <c r="BS20" i="33" s="1"/>
  <c r="K15" i="58"/>
  <c r="H19" i="58"/>
  <c r="K93" i="58"/>
  <c r="K98" i="58"/>
  <c r="K102" i="58"/>
  <c r="L97" i="58"/>
  <c r="K97" i="58"/>
  <c r="E17" i="61"/>
  <c r="K86" i="58"/>
  <c r="K101" i="58"/>
  <c r="K106" i="58"/>
  <c r="K110" i="58"/>
  <c r="L110" i="58"/>
  <c r="K117" i="58"/>
  <c r="L105" i="58"/>
  <c r="K105" i="58"/>
  <c r="L115" i="58"/>
  <c r="I115" i="58"/>
  <c r="L119" i="58"/>
  <c r="C18" i="38"/>
  <c r="L35" i="58"/>
  <c r="K35" i="58"/>
  <c r="I35" i="58"/>
  <c r="J30" i="40"/>
  <c r="D37" i="40" s="1"/>
  <c r="J31" i="40"/>
  <c r="D38" i="40" s="1"/>
  <c r="J28" i="40"/>
  <c r="D35" i="40" s="1"/>
  <c r="K35" i="40" s="1"/>
  <c r="K41" i="40" s="1"/>
  <c r="I218" i="40" s="1"/>
  <c r="J32" i="40"/>
  <c r="D39" i="40" s="1"/>
  <c r="J29" i="40"/>
  <c r="D36" i="40" s="1"/>
  <c r="K36" i="40" s="1"/>
  <c r="K42" i="40" s="1"/>
  <c r="I219" i="40" s="1"/>
  <c r="H17" i="61" l="1"/>
  <c r="AC13" i="45"/>
  <c r="V103" i="11"/>
  <c r="E63" i="15"/>
  <c r="F63" i="15" s="1"/>
  <c r="E61" i="15"/>
  <c r="F61" i="15" s="1"/>
  <c r="E48" i="15"/>
  <c r="F48" i="15" s="1"/>
  <c r="E74" i="15"/>
  <c r="F74" i="15" s="1"/>
  <c r="E31" i="15"/>
  <c r="F31" i="15" s="1"/>
  <c r="E122" i="15"/>
  <c r="F122" i="15" s="1"/>
  <c r="E203" i="15"/>
  <c r="F203" i="15" s="1"/>
  <c r="E131" i="15"/>
  <c r="F131" i="15" s="1"/>
  <c r="E149" i="15"/>
  <c r="F149" i="15" s="1"/>
  <c r="E152" i="15"/>
  <c r="F152" i="15" s="1"/>
  <c r="E144" i="15"/>
  <c r="F144" i="15" s="1"/>
  <c r="E145" i="15"/>
  <c r="F145" i="15" s="1"/>
  <c r="E67" i="15"/>
  <c r="F67" i="15" s="1"/>
  <c r="E103" i="15"/>
  <c r="F103" i="15" s="1"/>
  <c r="I460" i="40"/>
  <c r="I428" i="40"/>
  <c r="I449" i="40"/>
  <c r="K37" i="40"/>
  <c r="K43" i="40" s="1"/>
  <c r="I217" i="40" s="1"/>
  <c r="C186" i="15"/>
  <c r="D186" i="15" s="1"/>
  <c r="BD7" i="15"/>
  <c r="BF7" i="15" s="1"/>
  <c r="C84" i="15"/>
  <c r="D84" i="15" s="1"/>
  <c r="C100" i="15"/>
  <c r="D100" i="15" s="1"/>
  <c r="C144" i="15"/>
  <c r="D144" i="15" s="1"/>
  <c r="C184" i="15"/>
  <c r="D184" i="15" s="1"/>
  <c r="C123" i="15"/>
  <c r="D123" i="15" s="1"/>
  <c r="C139" i="15"/>
  <c r="D139" i="15" s="1"/>
  <c r="C155" i="15"/>
  <c r="D155" i="15" s="1"/>
  <c r="C173" i="15"/>
  <c r="D173" i="15" s="1"/>
  <c r="C191" i="15"/>
  <c r="D191" i="15" s="1"/>
  <c r="C107" i="15"/>
  <c r="D107" i="15" s="1"/>
  <c r="BD29" i="15"/>
  <c r="BF29" i="15" s="1"/>
  <c r="H12" i="58" s="1"/>
  <c r="I12" i="58" s="1"/>
  <c r="C109" i="15"/>
  <c r="D109" i="15" s="1"/>
  <c r="C70" i="15"/>
  <c r="D70" i="15" s="1"/>
  <c r="C54" i="15"/>
  <c r="D54" i="15" s="1"/>
  <c r="L18" i="36"/>
  <c r="S22" i="36" s="1"/>
  <c r="R41" i="47"/>
  <c r="E18" i="37"/>
  <c r="Q9" i="37"/>
  <c r="E20" i="37"/>
  <c r="BE7" i="15"/>
  <c r="C114" i="15"/>
  <c r="D114" i="15" s="1"/>
  <c r="BD5" i="15"/>
  <c r="BF5" i="15" s="1"/>
  <c r="C88" i="15"/>
  <c r="D88" i="15" s="1"/>
  <c r="C104" i="15"/>
  <c r="K178" i="11" s="1"/>
  <c r="C176" i="15"/>
  <c r="D176" i="15" s="1"/>
  <c r="C204" i="15"/>
  <c r="D204" i="15" s="1"/>
  <c r="C127" i="15"/>
  <c r="D127" i="15" s="1"/>
  <c r="C143" i="15"/>
  <c r="D143" i="15" s="1"/>
  <c r="C159" i="15"/>
  <c r="D159" i="15" s="1"/>
  <c r="C177" i="15"/>
  <c r="D177" i="15" s="1"/>
  <c r="C195" i="15"/>
  <c r="D195" i="15" s="1"/>
  <c r="BD21" i="15"/>
  <c r="BF21" i="15" s="1"/>
  <c r="K182" i="11" s="1"/>
  <c r="C76" i="15"/>
  <c r="D76" i="15" s="1"/>
  <c r="BD14" i="15"/>
  <c r="BF14" i="15" s="1"/>
  <c r="C132" i="15"/>
  <c r="D132" i="15" s="1"/>
  <c r="BE15" i="15"/>
  <c r="C81" i="15"/>
  <c r="D81" i="15" s="1"/>
  <c r="R43" i="11"/>
  <c r="U43" i="11" s="1"/>
  <c r="I24" i="40"/>
  <c r="K24" i="40" s="1"/>
  <c r="F25" i="40"/>
  <c r="I25" i="40" s="1"/>
  <c r="K25" i="40" s="1"/>
  <c r="C89" i="15"/>
  <c r="D89" i="15" s="1"/>
  <c r="BE6" i="15"/>
  <c r="C91" i="15"/>
  <c r="D91" i="15" s="1"/>
  <c r="C146" i="15"/>
  <c r="D146" i="15" s="1"/>
  <c r="C90" i="15"/>
  <c r="D90" i="15" s="1"/>
  <c r="C106" i="15"/>
  <c r="D106" i="15" s="1"/>
  <c r="C192" i="15"/>
  <c r="D192" i="15" s="1"/>
  <c r="C113" i="15"/>
  <c r="D113" i="15" s="1"/>
  <c r="C129" i="15"/>
  <c r="D129" i="15" s="1"/>
  <c r="C145" i="15"/>
  <c r="D145" i="15" s="1"/>
  <c r="C161" i="15"/>
  <c r="D161" i="15" s="1"/>
  <c r="C179" i="15"/>
  <c r="D179" i="15" s="1"/>
  <c r="C197" i="15"/>
  <c r="D197" i="15" s="1"/>
  <c r="BE12" i="15"/>
  <c r="C71" i="15"/>
  <c r="D71" i="15" s="1"/>
  <c r="BE10" i="15"/>
  <c r="C174" i="15"/>
  <c r="D174" i="15" s="1"/>
  <c r="C19" i="15"/>
  <c r="D19" i="15" s="1"/>
  <c r="C118" i="15"/>
  <c r="D118" i="15" s="1"/>
  <c r="BE24" i="15"/>
  <c r="R45" i="11"/>
  <c r="U45" i="11" s="1"/>
  <c r="R42" i="11"/>
  <c r="U42" i="11" s="1"/>
  <c r="G46" i="58"/>
  <c r="F31" i="51"/>
  <c r="D37" i="51"/>
  <c r="D38" i="51"/>
  <c r="C38" i="51"/>
  <c r="H22" i="36"/>
  <c r="P22" i="36" s="1"/>
  <c r="C194" i="15"/>
  <c r="D194" i="15" s="1"/>
  <c r="C130" i="15"/>
  <c r="D130" i="15" s="1"/>
  <c r="BE21" i="15"/>
  <c r="BE5" i="15"/>
  <c r="BE35" i="15"/>
  <c r="C162" i="15"/>
  <c r="D162" i="15" s="1"/>
  <c r="C92" i="15"/>
  <c r="D92" i="15" s="1"/>
  <c r="C108" i="15"/>
  <c r="D108" i="15" s="1"/>
  <c r="C200" i="15"/>
  <c r="D200" i="15" s="1"/>
  <c r="C115" i="15"/>
  <c r="D115" i="15" s="1"/>
  <c r="C131" i="15"/>
  <c r="D131" i="15" s="1"/>
  <c r="C147" i="15"/>
  <c r="D147" i="15" s="1"/>
  <c r="C163" i="15"/>
  <c r="D163" i="15" s="1"/>
  <c r="C181" i="15"/>
  <c r="D181" i="15" s="1"/>
  <c r="C199" i="15"/>
  <c r="D199" i="15" s="1"/>
  <c r="C65" i="15"/>
  <c r="D65" i="15" s="1"/>
  <c r="C6" i="15"/>
  <c r="D6" i="15" s="1"/>
  <c r="C21" i="15"/>
  <c r="D21" i="15" s="1"/>
  <c r="BD24" i="15"/>
  <c r="BF24" i="15" s="1"/>
  <c r="C170" i="15"/>
  <c r="D170" i="15" s="1"/>
  <c r="E37" i="51"/>
  <c r="E38" i="51"/>
  <c r="I38" i="40"/>
  <c r="K38" i="40" s="1"/>
  <c r="K44" i="40" s="1"/>
  <c r="I221" i="40" s="1"/>
  <c r="I328" i="40" s="1"/>
  <c r="I329" i="40" s="1"/>
  <c r="F39" i="40"/>
  <c r="E29" i="51"/>
  <c r="D29" i="51"/>
  <c r="J18" i="37"/>
  <c r="J20" i="37"/>
  <c r="R44" i="11"/>
  <c r="U44" i="11" s="1"/>
  <c r="C47" i="51"/>
  <c r="E47" i="51" s="1"/>
  <c r="G47" i="51" s="1"/>
  <c r="C36" i="51"/>
  <c r="G36" i="51" s="1"/>
  <c r="I36" i="51" s="1"/>
  <c r="C31" i="51"/>
  <c r="C51" i="51"/>
  <c r="E51" i="51" s="1"/>
  <c r="D50" i="51"/>
  <c r="E50" i="51" s="1"/>
  <c r="G50" i="51" s="1"/>
  <c r="I50" i="51" s="1"/>
  <c r="C32" i="51"/>
  <c r="G32" i="51" s="1"/>
  <c r="I32" i="51" s="1"/>
  <c r="C33" i="51"/>
  <c r="G33" i="51" s="1"/>
  <c r="I33" i="51" s="1"/>
  <c r="N33" i="51" s="1"/>
  <c r="C172" i="15"/>
  <c r="D172" i="15" s="1"/>
  <c r="BD30" i="15"/>
  <c r="BF30" i="15" s="1"/>
  <c r="C198" i="15"/>
  <c r="D198" i="15" s="1"/>
  <c r="BE14" i="15"/>
  <c r="C82" i="15"/>
  <c r="D82" i="15" s="1"/>
  <c r="C98" i="15"/>
  <c r="D98" i="15" s="1"/>
  <c r="C128" i="15"/>
  <c r="D128" i="15" s="1"/>
  <c r="C168" i="15"/>
  <c r="D168" i="15" s="1"/>
  <c r="C121" i="15"/>
  <c r="D121" i="15" s="1"/>
  <c r="C137" i="15"/>
  <c r="D137" i="15" s="1"/>
  <c r="C153" i="15"/>
  <c r="D153" i="15" s="1"/>
  <c r="C169" i="15"/>
  <c r="D169" i="15" s="1"/>
  <c r="C189" i="15"/>
  <c r="D189" i="15" s="1"/>
  <c r="C122" i="15"/>
  <c r="D122" i="15" s="1"/>
  <c r="C154" i="15"/>
  <c r="D154" i="15" s="1"/>
  <c r="BE32" i="15"/>
  <c r="C44" i="15"/>
  <c r="D44" i="15" s="1"/>
  <c r="C45" i="15"/>
  <c r="D45" i="15" s="1"/>
  <c r="C50" i="15"/>
  <c r="D50" i="15" s="1"/>
  <c r="D36" i="51"/>
  <c r="H29" i="51"/>
  <c r="F29" i="51"/>
  <c r="G29" i="51" s="1"/>
  <c r="K128" i="11"/>
  <c r="K129" i="11" s="1"/>
  <c r="K132" i="11" s="1"/>
  <c r="E108" i="15"/>
  <c r="F108" i="15" s="1"/>
  <c r="E113" i="15"/>
  <c r="F113" i="15" s="1"/>
  <c r="E65" i="15"/>
  <c r="F65" i="15" s="1"/>
  <c r="E191" i="15"/>
  <c r="F191" i="15" s="1"/>
  <c r="E83" i="15"/>
  <c r="F83" i="15" s="1"/>
  <c r="E33" i="15"/>
  <c r="F33" i="15" s="1"/>
  <c r="E154" i="15"/>
  <c r="F154" i="15" s="1"/>
  <c r="E57" i="15"/>
  <c r="F57" i="15" s="1"/>
  <c r="E78" i="15"/>
  <c r="F78" i="15" s="1"/>
  <c r="E184" i="15"/>
  <c r="F184" i="15" s="1"/>
  <c r="E20" i="15"/>
  <c r="F20" i="15" s="1"/>
  <c r="E71" i="15"/>
  <c r="F71" i="15" s="1"/>
  <c r="E94" i="15"/>
  <c r="F94" i="15" s="1"/>
  <c r="E73" i="15"/>
  <c r="F73" i="15" s="1"/>
  <c r="E72" i="15"/>
  <c r="F72" i="15" s="1"/>
  <c r="E204" i="15"/>
  <c r="F204" i="15" s="1"/>
  <c r="E87" i="15"/>
  <c r="F87" i="15" s="1"/>
  <c r="E39" i="15"/>
  <c r="F39" i="15" s="1"/>
  <c r="E161" i="15"/>
  <c r="F161" i="15" s="1"/>
  <c r="E45" i="15"/>
  <c r="F45" i="15" s="1"/>
  <c r="E185" i="15"/>
  <c r="F185" i="15" s="1"/>
  <c r="E27" i="15"/>
  <c r="F27" i="15" s="1"/>
  <c r="E170" i="15"/>
  <c r="F170" i="15" s="1"/>
  <c r="E12" i="15"/>
  <c r="F12" i="15" s="1"/>
  <c r="E17" i="15"/>
  <c r="F17" i="15" s="1"/>
  <c r="E153" i="15"/>
  <c r="F153" i="15" s="1"/>
  <c r="E192" i="15"/>
  <c r="F192" i="15" s="1"/>
  <c r="E80" i="15"/>
  <c r="F80" i="15" s="1"/>
  <c r="E55" i="15"/>
  <c r="F55" i="15" s="1"/>
  <c r="E75" i="15"/>
  <c r="F75" i="15" s="1"/>
  <c r="E18" i="15"/>
  <c r="F18" i="15" s="1"/>
  <c r="E121" i="15"/>
  <c r="F121" i="15" s="1"/>
  <c r="E60" i="15"/>
  <c r="F60" i="15" s="1"/>
  <c r="E199" i="15"/>
  <c r="F199" i="15" s="1"/>
  <c r="E40" i="15"/>
  <c r="F40" i="15" s="1"/>
  <c r="E159" i="15"/>
  <c r="F159" i="15" s="1"/>
  <c r="E169" i="15"/>
  <c r="F169" i="15" s="1"/>
  <c r="E143" i="15"/>
  <c r="F143" i="15" s="1"/>
  <c r="E119" i="15"/>
  <c r="F119" i="15" s="1"/>
  <c r="E178" i="15"/>
  <c r="F178" i="15" s="1"/>
  <c r="E42" i="15"/>
  <c r="F42" i="15" s="1"/>
  <c r="E70" i="15"/>
  <c r="F70" i="15" s="1"/>
  <c r="E137" i="15"/>
  <c r="F137" i="15" s="1"/>
  <c r="E46" i="15"/>
  <c r="F46" i="15" s="1"/>
  <c r="E81" i="15"/>
  <c r="F81" i="15" s="1"/>
  <c r="E91" i="15"/>
  <c r="F91" i="15" s="1"/>
  <c r="E41" i="15"/>
  <c r="F41" i="15" s="1"/>
  <c r="E158" i="15"/>
  <c r="F158" i="15" s="1"/>
  <c r="E98" i="15"/>
  <c r="F98" i="15" s="1"/>
  <c r="E7" i="15"/>
  <c r="F7" i="15" s="1"/>
  <c r="E106" i="15"/>
  <c r="F106" i="15" s="1"/>
  <c r="E97" i="15"/>
  <c r="F97" i="15" s="1"/>
  <c r="E14" i="15"/>
  <c r="F14" i="15" s="1"/>
  <c r="E53" i="15"/>
  <c r="F53" i="15" s="1"/>
  <c r="E190" i="15"/>
  <c r="F190" i="15" s="1"/>
  <c r="E37" i="15"/>
  <c r="F37" i="15" s="1"/>
  <c r="E104" i="15"/>
  <c r="F104" i="15" s="1"/>
  <c r="E52" i="15"/>
  <c r="F52" i="15" s="1"/>
  <c r="E176" i="15"/>
  <c r="F176" i="15" s="1"/>
  <c r="E107" i="15"/>
  <c r="F107" i="15" s="1"/>
  <c r="E68" i="15"/>
  <c r="F68" i="15" s="1"/>
  <c r="E56" i="15"/>
  <c r="F56" i="15" s="1"/>
  <c r="E130" i="15"/>
  <c r="F130" i="15" s="1"/>
  <c r="E118" i="15"/>
  <c r="F118" i="15" s="1"/>
  <c r="E8" i="15"/>
  <c r="F8" i="15" s="1"/>
  <c r="E36" i="15"/>
  <c r="F36" i="15" s="1"/>
  <c r="E162" i="15"/>
  <c r="F162" i="15" s="1"/>
  <c r="E16" i="15"/>
  <c r="F16" i="15" s="1"/>
  <c r="E47" i="15"/>
  <c r="F47" i="15" s="1"/>
  <c r="E125" i="15"/>
  <c r="F125" i="15" s="1"/>
  <c r="E62" i="15"/>
  <c r="F62" i="15" s="1"/>
  <c r="E183" i="15"/>
  <c r="F183" i="15" s="1"/>
  <c r="E112" i="15"/>
  <c r="F112" i="15" s="1"/>
  <c r="E160" i="15"/>
  <c r="F160" i="15" s="1"/>
  <c r="E49" i="15"/>
  <c r="F49" i="15" s="1"/>
  <c r="E50" i="15"/>
  <c r="F50" i="15" s="1"/>
  <c r="E120" i="15"/>
  <c r="F120" i="15" s="1"/>
  <c r="E110" i="15"/>
  <c r="F110" i="15" s="1"/>
  <c r="E19" i="15"/>
  <c r="F19" i="15" s="1"/>
  <c r="E43" i="15"/>
  <c r="F43" i="15" s="1"/>
  <c r="E151" i="15"/>
  <c r="F151" i="15" s="1"/>
  <c r="E11" i="15"/>
  <c r="F11" i="15" s="1"/>
  <c r="E51" i="15"/>
  <c r="F51" i="15" s="1"/>
  <c r="E138" i="15"/>
  <c r="F138" i="15" s="1"/>
  <c r="E66" i="15"/>
  <c r="F66" i="15" s="1"/>
  <c r="E195" i="15"/>
  <c r="F195" i="15" s="1"/>
  <c r="E129" i="15"/>
  <c r="F129" i="15" s="1"/>
  <c r="E115" i="15"/>
  <c r="F115" i="15" s="1"/>
  <c r="E196" i="15"/>
  <c r="F196" i="15" s="1"/>
  <c r="E44" i="15"/>
  <c r="F44" i="15" s="1"/>
  <c r="E111" i="15"/>
  <c r="F111" i="15" s="1"/>
  <c r="C195" i="33"/>
  <c r="D195" i="33" s="1"/>
  <c r="C158" i="33"/>
  <c r="D158" i="33" s="1"/>
  <c r="C17" i="33"/>
  <c r="D17" i="33" s="1"/>
  <c r="BE5" i="33"/>
  <c r="C49" i="33"/>
  <c r="D49" i="33" s="1"/>
  <c r="C78" i="33"/>
  <c r="D78" i="33" s="1"/>
  <c r="C32" i="33"/>
  <c r="D32" i="33" s="1"/>
  <c r="C28" i="33"/>
  <c r="D28" i="33" s="1"/>
  <c r="BD6" i="33"/>
  <c r="BF6" i="33" s="1"/>
  <c r="BE10" i="33"/>
  <c r="C57" i="33"/>
  <c r="D57" i="33" s="1"/>
  <c r="C80" i="33"/>
  <c r="D80" i="33" s="1"/>
  <c r="C61" i="33"/>
  <c r="D61" i="33" s="1"/>
  <c r="C182" i="33"/>
  <c r="D182" i="33" s="1"/>
  <c r="C94" i="33"/>
  <c r="D94" i="33" s="1"/>
  <c r="C185" i="33"/>
  <c r="D185" i="33" s="1"/>
  <c r="C69" i="33"/>
  <c r="D69" i="33" s="1"/>
  <c r="C187" i="33"/>
  <c r="D187" i="33" s="1"/>
  <c r="C96" i="33"/>
  <c r="D96" i="33" s="1"/>
  <c r="C143" i="33"/>
  <c r="D143" i="33" s="1"/>
  <c r="BE13" i="33"/>
  <c r="BE12" i="33"/>
  <c r="C30" i="33"/>
  <c r="D30" i="33" s="1"/>
  <c r="C110" i="33"/>
  <c r="D110" i="33" s="1"/>
  <c r="C161" i="33"/>
  <c r="D161" i="33" s="1"/>
  <c r="C162" i="33"/>
  <c r="D162" i="33" s="1"/>
  <c r="BD13" i="33"/>
  <c r="BF13" i="33" s="1"/>
  <c r="BD32" i="33"/>
  <c r="BF32" i="33" s="1"/>
  <c r="C112" i="33"/>
  <c r="D112" i="33" s="1"/>
  <c r="BD7" i="33"/>
  <c r="BF7" i="33" s="1"/>
  <c r="BD35" i="33"/>
  <c r="BF35" i="33" s="1"/>
  <c r="BD34" i="33"/>
  <c r="BF34" i="33" s="1"/>
  <c r="C126" i="33"/>
  <c r="D126" i="33" s="1"/>
  <c r="BD9" i="33"/>
  <c r="BF9" i="33" s="1"/>
  <c r="C38" i="33"/>
  <c r="D38" i="33" s="1"/>
  <c r="BE35" i="33"/>
  <c r="C128" i="33"/>
  <c r="D128" i="33" s="1"/>
  <c r="C160" i="33"/>
  <c r="D160" i="33" s="1"/>
  <c r="C171" i="33"/>
  <c r="D171" i="33" s="1"/>
  <c r="C81" i="33"/>
  <c r="D81" i="33" s="1"/>
  <c r="C115" i="33"/>
  <c r="D115" i="33" s="1"/>
  <c r="C142" i="33"/>
  <c r="D142" i="33" s="1"/>
  <c r="C184" i="33"/>
  <c r="D184" i="33" s="1"/>
  <c r="C95" i="33"/>
  <c r="D95" i="33" s="1"/>
  <c r="C123" i="33"/>
  <c r="D123" i="33" s="1"/>
  <c r="C144" i="33"/>
  <c r="D144" i="33" s="1"/>
  <c r="C8" i="15"/>
  <c r="D8" i="15" s="1"/>
  <c r="I320" i="40"/>
  <c r="I342" i="40"/>
  <c r="B25" i="11"/>
  <c r="B24" i="11" s="1"/>
  <c r="K192" i="11"/>
  <c r="C126" i="15"/>
  <c r="D126" i="15" s="1"/>
  <c r="V63" i="11"/>
  <c r="V64" i="11" s="1"/>
  <c r="V65" i="11" s="1"/>
  <c r="C164" i="33"/>
  <c r="D164" i="33" s="1"/>
  <c r="K1" i="33"/>
  <c r="C61" i="15"/>
  <c r="D61" i="15" s="1"/>
  <c r="C171" i="15"/>
  <c r="D171" i="15" s="1"/>
  <c r="C187" i="15"/>
  <c r="D187" i="15" s="1"/>
  <c r="C203" i="15"/>
  <c r="D203" i="15" s="1"/>
  <c r="C138" i="15"/>
  <c r="D138" i="15" s="1"/>
  <c r="C22" i="15"/>
  <c r="D22" i="15" s="1"/>
  <c r="BD23" i="15"/>
  <c r="BF23" i="15" s="1"/>
  <c r="C166" i="15"/>
  <c r="D166" i="15" s="1"/>
  <c r="C56" i="15"/>
  <c r="D56" i="15" s="1"/>
  <c r="C27" i="15"/>
  <c r="D27" i="15" s="1"/>
  <c r="C68" i="15"/>
  <c r="D68" i="15" s="1"/>
  <c r="C75" i="15"/>
  <c r="D75" i="15" s="1"/>
  <c r="C14" i="15"/>
  <c r="D14" i="15" s="1"/>
  <c r="C87" i="33"/>
  <c r="D87" i="33" s="1"/>
  <c r="C135" i="33"/>
  <c r="D135" i="33" s="1"/>
  <c r="C119" i="33"/>
  <c r="D119" i="33" s="1"/>
  <c r="C48" i="15"/>
  <c r="D48" i="15" s="1"/>
  <c r="C17" i="15"/>
  <c r="D17" i="15" s="1"/>
  <c r="C41" i="15"/>
  <c r="D41" i="15" s="1"/>
  <c r="BE16" i="15"/>
  <c r="C97" i="15"/>
  <c r="D97" i="15" s="1"/>
  <c r="C36" i="15"/>
  <c r="D36" i="15" s="1"/>
  <c r="C95" i="15"/>
  <c r="D95" i="15" s="1"/>
  <c r="C148" i="15"/>
  <c r="D148" i="15" s="1"/>
  <c r="BD27" i="15"/>
  <c r="BF27" i="15" s="1"/>
  <c r="BE6" i="33"/>
  <c r="C37" i="15"/>
  <c r="D37" i="15" s="1"/>
  <c r="C13" i="15"/>
  <c r="D13" i="15" s="1"/>
  <c r="C79" i="15"/>
  <c r="D79" i="15" s="1"/>
  <c r="BD25" i="15"/>
  <c r="BF25" i="15" s="1"/>
  <c r="C116" i="15"/>
  <c r="D116" i="15" s="1"/>
  <c r="C46" i="15"/>
  <c r="D46" i="15" s="1"/>
  <c r="C124" i="15"/>
  <c r="D124" i="15" s="1"/>
  <c r="BD35" i="15"/>
  <c r="BF35" i="15" s="1"/>
  <c r="BD5" i="33"/>
  <c r="BF5" i="33" s="1"/>
  <c r="BD27" i="33"/>
  <c r="BF27" i="33" s="1"/>
  <c r="C87" i="15"/>
  <c r="D87" i="15" s="1"/>
  <c r="C153" i="33"/>
  <c r="D153" i="33" s="1"/>
  <c r="BE27" i="33"/>
  <c r="C48" i="33"/>
  <c r="D48" i="33" s="1"/>
  <c r="C197" i="33"/>
  <c r="D197" i="33" s="1"/>
  <c r="BE32" i="33"/>
  <c r="BD12" i="33"/>
  <c r="BF12" i="33" s="1"/>
  <c r="C73" i="33"/>
  <c r="D73" i="33" s="1"/>
  <c r="C15" i="33"/>
  <c r="D15" i="33" s="1"/>
  <c r="C46" i="33"/>
  <c r="D46" i="33" s="1"/>
  <c r="C113" i="33"/>
  <c r="D113" i="33" s="1"/>
  <c r="C19" i="33"/>
  <c r="D19" i="33" s="1"/>
  <c r="C85" i="33"/>
  <c r="D85" i="33" s="1"/>
  <c r="C192" i="33"/>
  <c r="D192" i="33" s="1"/>
  <c r="C65" i="33"/>
  <c r="D65" i="33" s="1"/>
  <c r="C66" i="33"/>
  <c r="D66" i="33" s="1"/>
  <c r="C131" i="33"/>
  <c r="D131" i="33" s="1"/>
  <c r="C172" i="33"/>
  <c r="D172" i="33" s="1"/>
  <c r="C82" i="33"/>
  <c r="D82" i="33" s="1"/>
  <c r="C98" i="33"/>
  <c r="D98" i="33" s="1"/>
  <c r="C114" i="33"/>
  <c r="D114" i="33" s="1"/>
  <c r="C130" i="33"/>
  <c r="D130" i="33" s="1"/>
  <c r="C146" i="33"/>
  <c r="D146" i="33" s="1"/>
  <c r="C167" i="33"/>
  <c r="D167" i="33" s="1"/>
  <c r="BE16" i="33"/>
  <c r="C37" i="33"/>
  <c r="D37" i="33" s="1"/>
  <c r="C121" i="33"/>
  <c r="D121" i="33" s="1"/>
  <c r="C24" i="15"/>
  <c r="D24" i="15" s="1"/>
  <c r="C60" i="15"/>
  <c r="D60" i="15" s="1"/>
  <c r="C205" i="33"/>
  <c r="D205" i="33" s="1"/>
  <c r="C83" i="15"/>
  <c r="D83" i="15" s="1"/>
  <c r="C56" i="33"/>
  <c r="D56" i="33" s="1"/>
  <c r="C53" i="33"/>
  <c r="D53" i="33" s="1"/>
  <c r="C67" i="15"/>
  <c r="D67" i="15" s="1"/>
  <c r="C109" i="33"/>
  <c r="D109" i="33" s="1"/>
  <c r="C99" i="15"/>
  <c r="D99" i="15" s="1"/>
  <c r="BE24" i="33"/>
  <c r="C70" i="33"/>
  <c r="D70" i="33" s="1"/>
  <c r="C20" i="33"/>
  <c r="D20" i="33" s="1"/>
  <c r="C52" i="33"/>
  <c r="D52" i="33" s="1"/>
  <c r="C203" i="33"/>
  <c r="D203" i="33" s="1"/>
  <c r="C35" i="33"/>
  <c r="D35" i="33" s="1"/>
  <c r="BE23" i="33"/>
  <c r="C77" i="33"/>
  <c r="D77" i="33" s="1"/>
  <c r="BD21" i="33"/>
  <c r="BF21" i="33" s="1"/>
  <c r="C54" i="33"/>
  <c r="D54" i="33" s="1"/>
  <c r="C127" i="33"/>
  <c r="D127" i="33" s="1"/>
  <c r="BE21" i="33"/>
  <c r="C117" i="33"/>
  <c r="D117" i="33" s="1"/>
  <c r="C201" i="33"/>
  <c r="D201" i="33" s="1"/>
  <c r="C72" i="33"/>
  <c r="D72" i="33" s="1"/>
  <c r="C75" i="33"/>
  <c r="D75" i="33" s="1"/>
  <c r="C139" i="33"/>
  <c r="D139" i="33" s="1"/>
  <c r="C180" i="33"/>
  <c r="D180" i="33" s="1"/>
  <c r="C84" i="33"/>
  <c r="D84" i="33" s="1"/>
  <c r="C100" i="33"/>
  <c r="D100" i="33" s="1"/>
  <c r="C116" i="33"/>
  <c r="D116" i="33" s="1"/>
  <c r="C132" i="33"/>
  <c r="D132" i="33" s="1"/>
  <c r="C148" i="33"/>
  <c r="D148" i="33" s="1"/>
  <c r="C175" i="33"/>
  <c r="D175" i="33" s="1"/>
  <c r="C179" i="33"/>
  <c r="D179" i="33" s="1"/>
  <c r="BE14" i="33"/>
  <c r="C31" i="33"/>
  <c r="D31" i="33" s="1"/>
  <c r="C55" i="33"/>
  <c r="D55" i="33" s="1"/>
  <c r="C38" i="15"/>
  <c r="D38" i="15" s="1"/>
  <c r="C151" i="33"/>
  <c r="D151" i="33" s="1"/>
  <c r="C18" i="15"/>
  <c r="D18" i="15" s="1"/>
  <c r="C186" i="33"/>
  <c r="D186" i="33" s="1"/>
  <c r="BE29" i="33"/>
  <c r="BE30" i="15"/>
  <c r="C67" i="33"/>
  <c r="D67" i="33" s="1"/>
  <c r="C7" i="15"/>
  <c r="D7" i="15" s="1"/>
  <c r="C157" i="33"/>
  <c r="D157" i="33" s="1"/>
  <c r="C64" i="33"/>
  <c r="D64" i="33" s="1"/>
  <c r="BD15" i="33"/>
  <c r="BF15" i="33" s="1"/>
  <c r="C79" i="33"/>
  <c r="D79" i="33" s="1"/>
  <c r="BE7" i="33"/>
  <c r="C45" i="33"/>
  <c r="D45" i="33" s="1"/>
  <c r="C27" i="33"/>
  <c r="D27" i="33" s="1"/>
  <c r="C101" i="33"/>
  <c r="D101" i="33" s="1"/>
  <c r="BD25" i="33"/>
  <c r="BF25" i="33" s="1"/>
  <c r="C62" i="33"/>
  <c r="D62" i="33" s="1"/>
  <c r="C145" i="33"/>
  <c r="D145" i="33" s="1"/>
  <c r="BD24" i="33"/>
  <c r="BF24" i="33" s="1"/>
  <c r="C149" i="33"/>
  <c r="D149" i="33" s="1"/>
  <c r="C9" i="33"/>
  <c r="D9" i="33" s="1"/>
  <c r="C176" i="33"/>
  <c r="D176" i="33" s="1"/>
  <c r="C83" i="33"/>
  <c r="D83" i="33" s="1"/>
  <c r="C147" i="33"/>
  <c r="D147" i="33" s="1"/>
  <c r="C188" i="33"/>
  <c r="D188" i="33" s="1"/>
  <c r="C86" i="33"/>
  <c r="D86" i="33" s="1"/>
  <c r="C102" i="33"/>
  <c r="D102" i="33" s="1"/>
  <c r="C118" i="33"/>
  <c r="D118" i="33" s="1"/>
  <c r="C134" i="33"/>
  <c r="D134" i="33" s="1"/>
  <c r="C150" i="33"/>
  <c r="D150" i="33" s="1"/>
  <c r="C183" i="33"/>
  <c r="D183" i="33" s="1"/>
  <c r="C137" i="33"/>
  <c r="D137" i="33" s="1"/>
  <c r="C198" i="33"/>
  <c r="D198" i="33" s="1"/>
  <c r="C18" i="33"/>
  <c r="D18" i="33" s="1"/>
  <c r="C44" i="33"/>
  <c r="D44" i="33" s="1"/>
  <c r="C74" i="15"/>
  <c r="D74" i="15" s="1"/>
  <c r="C10" i="15"/>
  <c r="D10" i="15" s="1"/>
  <c r="BE9" i="15"/>
  <c r="C97" i="33"/>
  <c r="D97" i="33" s="1"/>
  <c r="C93" i="33"/>
  <c r="D93" i="33" s="1"/>
  <c r="C174" i="33"/>
  <c r="D174" i="33" s="1"/>
  <c r="BE20" i="33"/>
  <c r="C111" i="33"/>
  <c r="D111" i="33" s="1"/>
  <c r="C42" i="33"/>
  <c r="D42" i="33" s="1"/>
  <c r="C58" i="33"/>
  <c r="D58" i="33" s="1"/>
  <c r="C8" i="33"/>
  <c r="D8" i="33" s="1"/>
  <c r="C89" i="33"/>
  <c r="D89" i="33" s="1"/>
  <c r="BE9" i="33"/>
  <c r="C59" i="33"/>
  <c r="D59" i="33" s="1"/>
  <c r="BD29" i="33"/>
  <c r="BF29" i="33" s="1"/>
  <c r="C125" i="33"/>
  <c r="D125" i="33" s="1"/>
  <c r="C29" i="33"/>
  <c r="D29" i="33" s="1"/>
  <c r="C68" i="33"/>
  <c r="D68" i="33" s="1"/>
  <c r="C159" i="33"/>
  <c r="D159" i="33" s="1"/>
  <c r="BE25" i="33"/>
  <c r="C168" i="33"/>
  <c r="D168" i="33" s="1"/>
  <c r="C14" i="33"/>
  <c r="D14" i="33" s="1"/>
  <c r="C190" i="33"/>
  <c r="D190" i="33" s="1"/>
  <c r="C91" i="33"/>
  <c r="D91" i="33" s="1"/>
  <c r="C155" i="33"/>
  <c r="D155" i="33" s="1"/>
  <c r="C196" i="33"/>
  <c r="D196" i="33" s="1"/>
  <c r="C88" i="33"/>
  <c r="D88" i="33" s="1"/>
  <c r="C104" i="33"/>
  <c r="D104" i="33" s="1"/>
  <c r="C120" i="33"/>
  <c r="D120" i="33" s="1"/>
  <c r="C136" i="33"/>
  <c r="D136" i="33" s="1"/>
  <c r="C152" i="33"/>
  <c r="D152" i="33" s="1"/>
  <c r="C191" i="33"/>
  <c r="D191" i="33" s="1"/>
  <c r="C129" i="33"/>
  <c r="D129" i="33" s="1"/>
  <c r="C166" i="33"/>
  <c r="D166" i="33" s="1"/>
  <c r="C11" i="33"/>
  <c r="D11" i="33" s="1"/>
  <c r="C36" i="33"/>
  <c r="D36" i="33" s="1"/>
  <c r="C60" i="33"/>
  <c r="D60" i="33" s="1"/>
  <c r="BD16" i="33"/>
  <c r="BF16" i="33" s="1"/>
  <c r="BD14" i="33"/>
  <c r="BF14" i="33" s="1"/>
  <c r="C24" i="33"/>
  <c r="D24" i="33" s="1"/>
  <c r="I24" i="11"/>
  <c r="C25" i="33"/>
  <c r="D25" i="33" s="1"/>
  <c r="C6" i="33"/>
  <c r="D6" i="33" s="1"/>
  <c r="C103" i="33"/>
  <c r="D103" i="33" s="1"/>
  <c r="C12" i="33"/>
  <c r="D12" i="33" s="1"/>
  <c r="C63" i="33"/>
  <c r="D63" i="33" s="1"/>
  <c r="C43" i="33"/>
  <c r="D43" i="33" s="1"/>
  <c r="C169" i="33"/>
  <c r="D169" i="33" s="1"/>
  <c r="BD30" i="33"/>
  <c r="BF30" i="33" s="1"/>
  <c r="C71" i="33"/>
  <c r="D71" i="33" s="1"/>
  <c r="C163" i="33"/>
  <c r="D163" i="33" s="1"/>
  <c r="BE30" i="33"/>
  <c r="C173" i="33"/>
  <c r="D173" i="33" s="1"/>
  <c r="BE15" i="33"/>
  <c r="C194" i="33"/>
  <c r="D194" i="33" s="1"/>
  <c r="C99" i="33"/>
  <c r="D99" i="33" s="1"/>
  <c r="C177" i="33"/>
  <c r="D177" i="33" s="1"/>
  <c r="C204" i="33"/>
  <c r="D204" i="33" s="1"/>
  <c r="C90" i="33"/>
  <c r="D90" i="33" s="1"/>
  <c r="C106" i="33"/>
  <c r="D106" i="33" s="1"/>
  <c r="C122" i="33"/>
  <c r="D122" i="33" s="1"/>
  <c r="C138" i="33"/>
  <c r="D138" i="33" s="1"/>
  <c r="C154" i="33"/>
  <c r="D154" i="33" s="1"/>
  <c r="C199" i="33"/>
  <c r="D199" i="33" s="1"/>
  <c r="C51" i="33"/>
  <c r="D51" i="33" s="1"/>
  <c r="C133" i="33"/>
  <c r="D133" i="33" s="1"/>
  <c r="C23" i="33"/>
  <c r="D23" i="33" s="1"/>
  <c r="C158" i="15"/>
  <c r="D158" i="15" s="1"/>
  <c r="BD23" i="33"/>
  <c r="BF23" i="33" s="1"/>
  <c r="C50" i="33"/>
  <c r="D50" i="33" s="1"/>
  <c r="BE34" i="33"/>
  <c r="C49" i="15"/>
  <c r="D49" i="15" s="1"/>
  <c r="BD10" i="33"/>
  <c r="BF10" i="33" s="1"/>
  <c r="BE19" i="33"/>
  <c r="C39" i="33"/>
  <c r="D39" i="33" s="1"/>
  <c r="C9" i="15"/>
  <c r="D9" i="15" s="1"/>
  <c r="K67" i="11"/>
  <c r="C22" i="33"/>
  <c r="D22" i="33" s="1"/>
  <c r="C5" i="33"/>
  <c r="D5" i="33" s="1"/>
  <c r="C165" i="33"/>
  <c r="D165" i="33" s="1"/>
  <c r="C13" i="33"/>
  <c r="D13" i="33" s="1"/>
  <c r="C141" i="33"/>
  <c r="D141" i="33" s="1"/>
  <c r="C47" i="33"/>
  <c r="D47" i="33" s="1"/>
  <c r="C200" i="33"/>
  <c r="D200" i="33" s="1"/>
  <c r="C34" i="33"/>
  <c r="D34" i="33" s="1"/>
  <c r="C74" i="33"/>
  <c r="D74" i="33" s="1"/>
  <c r="C7" i="33"/>
  <c r="D7" i="33" s="1"/>
  <c r="C41" i="33"/>
  <c r="D41" i="33" s="1"/>
  <c r="C178" i="33"/>
  <c r="D178" i="33" s="1"/>
  <c r="BD20" i="33"/>
  <c r="BF20" i="33" s="1"/>
  <c r="C33" i="33"/>
  <c r="D33" i="33" s="1"/>
  <c r="C107" i="33"/>
  <c r="D107" i="33" s="1"/>
  <c r="C181" i="33"/>
  <c r="D181" i="33" s="1"/>
  <c r="C76" i="33"/>
  <c r="D76" i="33" s="1"/>
  <c r="C92" i="33"/>
  <c r="D92" i="33" s="1"/>
  <c r="C108" i="33"/>
  <c r="D108" i="33" s="1"/>
  <c r="C124" i="33"/>
  <c r="D124" i="33" s="1"/>
  <c r="C140" i="33"/>
  <c r="D140" i="33" s="1"/>
  <c r="C156" i="33"/>
  <c r="D156" i="33" s="1"/>
  <c r="C40" i="33"/>
  <c r="D40" i="33" s="1"/>
  <c r="C105" i="33"/>
  <c r="D105" i="33" s="1"/>
  <c r="BD19" i="33"/>
  <c r="BF19" i="33" s="1"/>
  <c r="C21" i="33"/>
  <c r="D21" i="33" s="1"/>
  <c r="C202" i="33"/>
  <c r="D202" i="33" s="1"/>
  <c r="BD20" i="15"/>
  <c r="BF20" i="15" s="1"/>
  <c r="C193" i="33"/>
  <c r="D193" i="33" s="1"/>
  <c r="C16" i="33"/>
  <c r="D16" i="33" s="1"/>
  <c r="V87" i="11"/>
  <c r="V88" i="11" s="1"/>
  <c r="V89" i="11" s="1"/>
  <c r="C142" i="15"/>
  <c r="D142" i="15" s="1"/>
  <c r="C156" i="15"/>
  <c r="D156" i="15" s="1"/>
  <c r="C58" i="15"/>
  <c r="D58" i="15" s="1"/>
  <c r="C188" i="15"/>
  <c r="D188" i="15" s="1"/>
  <c r="C69" i="15"/>
  <c r="D69" i="15" s="1"/>
  <c r="BE20" i="15"/>
  <c r="BE13" i="15"/>
  <c r="C77" i="15"/>
  <c r="D77" i="15" s="1"/>
  <c r="C12" i="15"/>
  <c r="D12" i="15" s="1"/>
  <c r="C140" i="15"/>
  <c r="D140" i="15" s="1"/>
  <c r="K1" i="15"/>
  <c r="C42" i="15"/>
  <c r="D42" i="15" s="1"/>
  <c r="C53" i="15"/>
  <c r="D53" i="15" s="1"/>
  <c r="C63" i="15"/>
  <c r="D63" i="15" s="1"/>
  <c r="C73" i="15"/>
  <c r="D73" i="15" s="1"/>
  <c r="BD15" i="15"/>
  <c r="BF15" i="15" s="1"/>
  <c r="BD13" i="15"/>
  <c r="BF13" i="15" s="1"/>
  <c r="C72" i="15"/>
  <c r="D72" i="15" s="1"/>
  <c r="C29" i="15"/>
  <c r="D29" i="15" s="1"/>
  <c r="C180" i="15"/>
  <c r="D180" i="15" s="1"/>
  <c r="C55" i="15"/>
  <c r="D55" i="15" s="1"/>
  <c r="C57" i="15"/>
  <c r="D57" i="15" s="1"/>
  <c r="BE19" i="15"/>
  <c r="C134" i="15"/>
  <c r="D134" i="15" s="1"/>
  <c r="C85" i="15"/>
  <c r="D85" i="15" s="1"/>
  <c r="C51" i="15"/>
  <c r="D51" i="15" s="1"/>
  <c r="C93" i="15"/>
  <c r="D93" i="15" s="1"/>
  <c r="C11" i="15"/>
  <c r="D11" i="15" s="1"/>
  <c r="C78" i="15"/>
  <c r="D78" i="15" s="1"/>
  <c r="BE23" i="15"/>
  <c r="C5" i="15"/>
  <c r="D5" i="15" s="1"/>
  <c r="C15" i="15"/>
  <c r="D15" i="15" s="1"/>
  <c r="BE25" i="15"/>
  <c r="C66" i="15"/>
  <c r="D66" i="15" s="1"/>
  <c r="BD10" i="15"/>
  <c r="BF10" i="15" s="1"/>
  <c r="BE29" i="15"/>
  <c r="C182" i="15"/>
  <c r="D182" i="15" s="1"/>
  <c r="C52" i="15"/>
  <c r="D52" i="15" s="1"/>
  <c r="C16" i="15"/>
  <c r="D16" i="15" s="1"/>
  <c r="C40" i="15"/>
  <c r="D40" i="15" s="1"/>
  <c r="C103" i="15"/>
  <c r="D103" i="15" s="1"/>
  <c r="C59" i="15"/>
  <c r="D59" i="15" s="1"/>
  <c r="C34" i="15"/>
  <c r="D34" i="15" s="1"/>
  <c r="BD9" i="15"/>
  <c r="K204" i="11" s="1"/>
  <c r="C62" i="15"/>
  <c r="D62" i="15" s="1"/>
  <c r="BD12" i="15"/>
  <c r="BF12" i="15" s="1"/>
  <c r="C26" i="15"/>
  <c r="D26" i="15" s="1"/>
  <c r="C30" i="15"/>
  <c r="D30" i="15" s="1"/>
  <c r="C39" i="15"/>
  <c r="D39" i="15" s="1"/>
  <c r="C23" i="15"/>
  <c r="D23" i="15" s="1"/>
  <c r="C47" i="15"/>
  <c r="D47" i="15" s="1"/>
  <c r="C20" i="38"/>
  <c r="P52" i="11" s="1"/>
  <c r="U52" i="11" s="1"/>
  <c r="V71" i="11"/>
  <c r="V72" i="11" s="1"/>
  <c r="V73" i="11" s="1"/>
  <c r="G26" i="53" s="1"/>
  <c r="H26" i="53" s="1"/>
  <c r="B2" i="52"/>
  <c r="E11" i="53"/>
  <c r="G11" i="53" s="1"/>
  <c r="H11" i="53" s="1"/>
  <c r="E10" i="53"/>
  <c r="G10" i="53" s="1"/>
  <c r="H10" i="53" s="1"/>
  <c r="B3" i="52"/>
  <c r="K32" i="51" s="1"/>
  <c r="M32" i="51" s="1"/>
  <c r="N32" i="51" s="1"/>
  <c r="M25" i="45"/>
  <c r="N27" i="45" s="1"/>
  <c r="N37" i="45" s="1"/>
  <c r="Z17" i="45"/>
  <c r="Z25" i="45" s="1"/>
  <c r="X30" i="45" s="1"/>
  <c r="X25" i="45"/>
  <c r="X28" i="45" s="1"/>
  <c r="Y17" i="45"/>
  <c r="Y25" i="45" s="1"/>
  <c r="X29" i="45" s="1"/>
  <c r="W25" i="45"/>
  <c r="I189" i="40"/>
  <c r="E321" i="40"/>
  <c r="I341" i="40"/>
  <c r="I459" i="40" s="1"/>
  <c r="I464" i="40" s="1"/>
  <c r="I465" i="40" s="1"/>
  <c r="I343" i="40"/>
  <c r="I338" i="40"/>
  <c r="I310" i="40"/>
  <c r="I313" i="40" s="1"/>
  <c r="I142" i="40"/>
  <c r="I159" i="40"/>
  <c r="I160" i="40" s="1"/>
  <c r="I161" i="40" s="1"/>
  <c r="I162" i="40" s="1"/>
  <c r="I166" i="40" s="1"/>
  <c r="I339" i="40"/>
  <c r="I396" i="40" s="1"/>
  <c r="I397" i="40" s="1"/>
  <c r="I398" i="40" s="1"/>
  <c r="I340" i="40"/>
  <c r="I199" i="40"/>
  <c r="I175" i="40"/>
  <c r="I195" i="40"/>
  <c r="I196" i="40" s="1"/>
  <c r="G41" i="58"/>
  <c r="F41" i="58"/>
  <c r="O18" i="45"/>
  <c r="O25" i="45" s="1"/>
  <c r="D38" i="58"/>
  <c r="O43" i="35"/>
  <c r="Q43" i="35" s="1"/>
  <c r="U42" i="35" s="1"/>
  <c r="I13" i="45"/>
  <c r="D17" i="45"/>
  <c r="I213" i="40"/>
  <c r="I210" i="40"/>
  <c r="I212" i="40" s="1"/>
  <c r="I318" i="40"/>
  <c r="I324" i="40" s="1"/>
  <c r="I190" i="40"/>
  <c r="L186" i="40" s="1"/>
  <c r="I171" i="40"/>
  <c r="I172" i="40" s="1"/>
  <c r="L52" i="58"/>
  <c r="K51" i="58"/>
  <c r="L17" i="58"/>
  <c r="K17" i="58"/>
  <c r="L51" i="58"/>
  <c r="K52" i="58"/>
  <c r="K20" i="58"/>
  <c r="K43" i="58"/>
  <c r="I37" i="58"/>
  <c r="K37" i="58"/>
  <c r="K13" i="58"/>
  <c r="L13" i="58"/>
  <c r="K21" i="58"/>
  <c r="K34" i="58"/>
  <c r="I40" i="58"/>
  <c r="L40" i="58"/>
  <c r="I21" i="58"/>
  <c r="L43" i="58"/>
  <c r="L20" i="58"/>
  <c r="L34" i="58"/>
  <c r="K44" i="58"/>
  <c r="I44" i="58"/>
  <c r="L19" i="58"/>
  <c r="K19" i="58"/>
  <c r="I19" i="58"/>
  <c r="BI13" i="15"/>
  <c r="BI14" i="15"/>
  <c r="I18" i="58"/>
  <c r="L18" i="58"/>
  <c r="K18" i="58"/>
  <c r="C25" i="45"/>
  <c r="N33" i="45" s="1"/>
  <c r="G25" i="45"/>
  <c r="E25" i="45"/>
  <c r="H25" i="45"/>
  <c r="D30" i="45" s="1"/>
  <c r="F25" i="45"/>
  <c r="K30" i="35"/>
  <c r="F51" i="35" s="1"/>
  <c r="E183" i="11"/>
  <c r="A6" i="37"/>
  <c r="I262" i="40"/>
  <c r="I264" i="40"/>
  <c r="I265" i="40" s="1"/>
  <c r="I230" i="40"/>
  <c r="I259" i="40"/>
  <c r="I260" i="40" s="1"/>
  <c r="I257" i="40"/>
  <c r="I252" i="40"/>
  <c r="I238" i="40"/>
  <c r="I240" i="40" s="1"/>
  <c r="I326" i="40" s="1"/>
  <c r="I254" i="40"/>
  <c r="N39" i="45" l="1"/>
  <c r="G32" i="58" s="1"/>
  <c r="D23" i="58"/>
  <c r="D22" i="58"/>
  <c r="J22" i="58" s="1"/>
  <c r="H6" i="58"/>
  <c r="H70" i="58" s="1"/>
  <c r="K156" i="11"/>
  <c r="K162" i="11" s="1"/>
  <c r="K163" i="11" s="1"/>
  <c r="D17" i="61"/>
  <c r="F46" i="58"/>
  <c r="I46" i="58"/>
  <c r="D104" i="15"/>
  <c r="K193" i="11"/>
  <c r="N36" i="51"/>
  <c r="G51" i="51"/>
  <c r="I51" i="51" s="1"/>
  <c r="N51" i="51" s="1"/>
  <c r="I47" i="51"/>
  <c r="L47" i="51" s="1"/>
  <c r="N29" i="45"/>
  <c r="N38" i="45" s="1"/>
  <c r="J13" i="59"/>
  <c r="F40" i="40"/>
  <c r="I40" i="40" s="1"/>
  <c r="K40" i="40" s="1"/>
  <c r="K46" i="40" s="1"/>
  <c r="I220" i="40" s="1"/>
  <c r="I39" i="40"/>
  <c r="K39" i="40" s="1"/>
  <c r="K45" i="40" s="1"/>
  <c r="I222" i="40" s="1"/>
  <c r="I234" i="40" s="1"/>
  <c r="I236" i="40" s="1"/>
  <c r="Q12" i="37"/>
  <c r="E55" i="37"/>
  <c r="C40" i="51"/>
  <c r="D31" i="51"/>
  <c r="I49" i="51"/>
  <c r="N50" i="51"/>
  <c r="C37" i="51"/>
  <c r="G37" i="51" s="1"/>
  <c r="I37" i="51" s="1"/>
  <c r="N37" i="51" s="1"/>
  <c r="G38" i="51"/>
  <c r="I38" i="51" s="1"/>
  <c r="N38" i="51" s="1"/>
  <c r="G31" i="51"/>
  <c r="I31" i="51" s="1"/>
  <c r="I25" i="11"/>
  <c r="I23" i="11"/>
  <c r="L9" i="11"/>
  <c r="I404" i="40"/>
  <c r="I405" i="40" s="1"/>
  <c r="I406" i="40" s="1"/>
  <c r="I372" i="40"/>
  <c r="I373" i="40" s="1"/>
  <c r="I374" i="40" s="1"/>
  <c r="I388" i="40"/>
  <c r="I389" i="40" s="1"/>
  <c r="I390" i="40" s="1"/>
  <c r="I438" i="40"/>
  <c r="I443" i="40" s="1"/>
  <c r="I444" i="40" s="1"/>
  <c r="I446" i="40" s="1"/>
  <c r="I412" i="40"/>
  <c r="I413" i="40" s="1"/>
  <c r="I414" i="40" s="1"/>
  <c r="I380" i="40"/>
  <c r="I381" i="40" s="1"/>
  <c r="I382" i="40" s="1"/>
  <c r="D29" i="45"/>
  <c r="N36" i="45" s="1"/>
  <c r="I427" i="40"/>
  <c r="I432" i="40" s="1"/>
  <c r="I433" i="40" s="1"/>
  <c r="I180" i="40"/>
  <c r="I448" i="40"/>
  <c r="I453" i="40" s="1"/>
  <c r="I454" i="40" s="1"/>
  <c r="I456" i="40" s="1"/>
  <c r="I330" i="40"/>
  <c r="I332" i="40" s="1"/>
  <c r="I417" i="40"/>
  <c r="I422" i="40" s="1"/>
  <c r="I423" i="40" s="1"/>
  <c r="I425" i="40" s="1"/>
  <c r="I344" i="40"/>
  <c r="B22" i="11"/>
  <c r="B23" i="11"/>
  <c r="K183" i="11"/>
  <c r="K184" i="11" s="1"/>
  <c r="K185" i="11" s="1"/>
  <c r="BF9" i="15"/>
  <c r="K205" i="11"/>
  <c r="K206" i="11" s="1"/>
  <c r="H31" i="53"/>
  <c r="K31" i="51"/>
  <c r="M31" i="51" s="1"/>
  <c r="N31" i="51" s="1"/>
  <c r="B17" i="52"/>
  <c r="K47" i="51" s="1"/>
  <c r="M47" i="51" s="1"/>
  <c r="N47" i="51" s="1"/>
  <c r="D25" i="45"/>
  <c r="N34" i="45" s="1"/>
  <c r="F28" i="58"/>
  <c r="H28" i="58" s="1"/>
  <c r="I143" i="40"/>
  <c r="I145" i="40" s="1"/>
  <c r="I146" i="40"/>
  <c r="I204" i="40"/>
  <c r="H41" i="58"/>
  <c r="I41" i="58" s="1"/>
  <c r="F146" i="35"/>
  <c r="F149" i="35" s="1"/>
  <c r="J38" i="58"/>
  <c r="F38" i="58"/>
  <c r="G38" i="58"/>
  <c r="I467" i="40"/>
  <c r="I466" i="40"/>
  <c r="I434" i="40"/>
  <c r="I435" i="40"/>
  <c r="R52" i="11"/>
  <c r="BK16" i="15"/>
  <c r="BJ16" i="15"/>
  <c r="BI16" i="15"/>
  <c r="BK15" i="15"/>
  <c r="BK17" i="15" s="1"/>
  <c r="BJ15" i="15"/>
  <c r="BJ17" i="15" s="1"/>
  <c r="BI15" i="15"/>
  <c r="BI17" i="15" s="1"/>
  <c r="L85" i="35"/>
  <c r="L124" i="35"/>
  <c r="F145" i="35"/>
  <c r="D28" i="45"/>
  <c r="N35" i="45" s="1"/>
  <c r="I319" i="40"/>
  <c r="I322" i="40" s="1"/>
  <c r="I323" i="40" s="1"/>
  <c r="I232" i="40"/>
  <c r="I266" i="40"/>
  <c r="I255" i="40"/>
  <c r="F17" i="61" l="1"/>
  <c r="I17" i="61" s="1"/>
  <c r="H32" i="58"/>
  <c r="L32" i="58" s="1"/>
  <c r="F22" i="58"/>
  <c r="H22" i="58" s="1"/>
  <c r="G22" i="58"/>
  <c r="D30" i="58"/>
  <c r="J30" i="58" s="1"/>
  <c r="D27" i="58"/>
  <c r="J27" i="58" s="1"/>
  <c r="D25" i="58"/>
  <c r="H25" i="58" s="1"/>
  <c r="K74" i="11"/>
  <c r="K75" i="11" s="1"/>
  <c r="I445" i="40"/>
  <c r="D31" i="58"/>
  <c r="F31" i="58" s="1"/>
  <c r="I272" i="40"/>
  <c r="I274" i="40" s="1"/>
  <c r="I276" i="40" s="1"/>
  <c r="I277" i="40" s="1"/>
  <c r="I286" i="40"/>
  <c r="I289" i="40" s="1"/>
  <c r="I290" i="40" s="1"/>
  <c r="I291" i="40" s="1"/>
  <c r="I294" i="40" s="1"/>
  <c r="J10" i="59"/>
  <c r="E27" i="59" s="1"/>
  <c r="E161" i="11"/>
  <c r="C41" i="51"/>
  <c r="G41" i="51" s="1"/>
  <c r="I41" i="51" s="1"/>
  <c r="N41" i="51" s="1"/>
  <c r="C42" i="51"/>
  <c r="G42" i="51" s="1"/>
  <c r="I42" i="51" s="1"/>
  <c r="N42" i="51" s="1"/>
  <c r="C43" i="51"/>
  <c r="G43" i="51" s="1"/>
  <c r="I43" i="51" s="1"/>
  <c r="N43" i="51" s="1"/>
  <c r="C44" i="51"/>
  <c r="G44" i="51" s="1"/>
  <c r="I44" i="51" s="1"/>
  <c r="N44" i="51" s="1"/>
  <c r="G40" i="51"/>
  <c r="I40" i="51" s="1"/>
  <c r="N40" i="51" s="1"/>
  <c r="I48" i="51"/>
  <c r="N48" i="51" s="1"/>
  <c r="N49" i="51"/>
  <c r="B54" i="37"/>
  <c r="C13" i="38"/>
  <c r="C14" i="38" s="1"/>
  <c r="I35" i="51"/>
  <c r="H30" i="58"/>
  <c r="I30" i="58" s="1"/>
  <c r="G30" i="58"/>
  <c r="H27" i="58"/>
  <c r="I27" i="58" s="1"/>
  <c r="F152" i="35"/>
  <c r="BL31" i="15"/>
  <c r="I424" i="40"/>
  <c r="I455" i="40"/>
  <c r="D12" i="61"/>
  <c r="L41" i="58"/>
  <c r="K197" i="11"/>
  <c r="K175" i="11"/>
  <c r="K41" i="58"/>
  <c r="H38" i="58"/>
  <c r="F148" i="35"/>
  <c r="K188" i="11"/>
  <c r="K5" i="47"/>
  <c r="F27" i="58"/>
  <c r="K77" i="11" l="1"/>
  <c r="F23" i="58"/>
  <c r="H23" i="58" s="1"/>
  <c r="K23" i="58" s="1"/>
  <c r="K32" i="58"/>
  <c r="I32" i="58"/>
  <c r="F30" i="58"/>
  <c r="F32" i="58"/>
  <c r="F25" i="58"/>
  <c r="J25" i="58"/>
  <c r="K25" i="58" s="1"/>
  <c r="G27" i="58"/>
  <c r="G25" i="58"/>
  <c r="D14" i="61"/>
  <c r="E172" i="11"/>
  <c r="E194" i="11"/>
  <c r="K194" i="11" s="1"/>
  <c r="I296" i="40"/>
  <c r="I295" i="40"/>
  <c r="N35" i="51"/>
  <c r="I34" i="51"/>
  <c r="N34" i="51" s="1"/>
  <c r="N52" i="51" s="1"/>
  <c r="N53" i="51" s="1"/>
  <c r="N54" i="51" s="1"/>
  <c r="I25" i="58"/>
  <c r="K27" i="58"/>
  <c r="H31" i="58"/>
  <c r="K31" i="58" s="1"/>
  <c r="K28" i="58"/>
  <c r="I28" i="58"/>
  <c r="E12" i="61"/>
  <c r="F12" i="61" s="1"/>
  <c r="I38" i="58"/>
  <c r="L38" i="58"/>
  <c r="K38" i="58"/>
  <c r="K168" i="11"/>
  <c r="K167" i="11"/>
  <c r="I22" i="58"/>
  <c r="K190" i="11"/>
  <c r="K189" i="11"/>
  <c r="K195" i="11" s="1"/>
  <c r="K196" i="11" s="1"/>
  <c r="I23" i="58" l="1"/>
  <c r="L23" i="58"/>
  <c r="E14" i="61"/>
  <c r="I31" i="58"/>
  <c r="H12" i="61"/>
  <c r="I12" i="61"/>
  <c r="K173" i="11"/>
  <c r="K174" i="11" s="1"/>
  <c r="H14" i="61" l="1"/>
  <c r="F14" i="61"/>
  <c r="I14" i="61" s="1"/>
  <c r="I22" i="61" s="1"/>
  <c r="I62" i="58"/>
  <c r="I74" i="58" s="1"/>
  <c r="I121" i="58" s="1"/>
  <c r="O14" i="59" s="1"/>
  <c r="Q21" i="59" s="1"/>
  <c r="Q22" i="59" s="1"/>
  <c r="I137" i="58" l="1"/>
  <c r="F21" i="61"/>
  <c r="K22" i="58"/>
  <c r="L31" i="58"/>
  <c r="K24" i="58"/>
  <c r="BI10" i="33"/>
  <c r="BI11" i="33" s="1"/>
  <c r="BI12" i="33" s="1"/>
  <c r="L84" i="58" l="1"/>
  <c r="K83" i="58"/>
  <c r="K12" i="58"/>
  <c r="K30" i="58"/>
  <c r="L25" i="58"/>
  <c r="L59" i="58"/>
  <c r="L12" i="58"/>
  <c r="L27" i="58"/>
  <c r="L22" i="58"/>
  <c r="L28" i="58"/>
  <c r="L24" i="58"/>
  <c r="BI13" i="33"/>
  <c r="BI14" i="33"/>
  <c r="K59" i="58" l="1"/>
  <c r="L83" i="58"/>
  <c r="K46" i="58"/>
  <c r="L46" i="58"/>
  <c r="K84" i="58"/>
  <c r="L30" i="58"/>
  <c r="L62" i="58" s="1"/>
  <c r="L47" i="58"/>
  <c r="K47" i="58"/>
  <c r="BK16" i="33"/>
  <c r="BJ16" i="33"/>
  <c r="BI16" i="33"/>
  <c r="BI15" i="33"/>
  <c r="BI17" i="33" s="1"/>
  <c r="BK15" i="33"/>
  <c r="BK17" i="33" s="1"/>
  <c r="BJ15" i="33"/>
  <c r="L74" i="58" l="1"/>
  <c r="L121" i="58" s="1"/>
  <c r="BJ17" i="33"/>
  <c r="L137" i="58" l="1"/>
  <c r="H16" i="59" s="1"/>
  <c r="H23" i="59" s="1"/>
  <c r="H24" i="59" s="1"/>
  <c r="B25" i="59" l="1"/>
  <c r="D28" i="59"/>
  <c r="G28" i="59"/>
</calcChain>
</file>

<file path=xl/sharedStrings.xml><?xml version="1.0" encoding="utf-8"?>
<sst xmlns="http://schemas.openxmlformats.org/spreadsheetml/2006/main" count="4267" uniqueCount="1461">
  <si>
    <t>ที่</t>
  </si>
  <si>
    <t>รายการ</t>
  </si>
  <si>
    <t>Factor F</t>
  </si>
  <si>
    <t>บาท/ลบ.ม.</t>
  </si>
  <si>
    <t>ระยะขนส่ง</t>
  </si>
  <si>
    <t xml:space="preserve"> =</t>
  </si>
  <si>
    <t>ลูกรัง</t>
  </si>
  <si>
    <t>บาท/ตัน</t>
  </si>
  <si>
    <t xml:space="preserve"> บาท/ตัน</t>
  </si>
  <si>
    <t>รายการราคาค่างานต่อหน่วย</t>
  </si>
  <si>
    <t>=</t>
  </si>
  <si>
    <t xml:space="preserve"> บาท/ตร.ม.</t>
  </si>
  <si>
    <t xml:space="preserve">        ผิวทาง (ขนทิ้ง)</t>
  </si>
  <si>
    <t>ค่าตัวแปร</t>
  </si>
  <si>
    <t xml:space="preserve"> บาท/ลบ.ม.</t>
  </si>
  <si>
    <t>หมายเหตุ</t>
  </si>
  <si>
    <t>บาท / ลิตร</t>
  </si>
  <si>
    <t>จำนวน</t>
  </si>
  <si>
    <t>หน่วย</t>
  </si>
  <si>
    <t>ราคาวัสดุ-ค่าแรง-ต่อหน่วย</t>
  </si>
  <si>
    <t>จำนวนเงิน</t>
  </si>
  <si>
    <t>วัสดุ</t>
  </si>
  <si>
    <t>ค่าแรง</t>
  </si>
  <si>
    <t>รวม</t>
  </si>
  <si>
    <t>(บาท)</t>
  </si>
  <si>
    <t>งานปรับปรุงโครงสร้างทาง</t>
  </si>
  <si>
    <t>ตร.ม.</t>
  </si>
  <si>
    <t>ลบ.ม.</t>
  </si>
  <si>
    <t>งานผิวทาง</t>
  </si>
  <si>
    <t>2.1 Prime  Coat</t>
  </si>
  <si>
    <t>2.2 Tack  Coat</t>
  </si>
  <si>
    <t xml:space="preserve"> -  Asphaltic  Concrete  (ปูบน Prime  Coat)</t>
  </si>
  <si>
    <t xml:space="preserve"> -  Asphaltic  Concrete  (ปูบน Tack  Coat)</t>
  </si>
  <si>
    <t>งานตีเส้นจราจร</t>
  </si>
  <si>
    <t>งานจราจรสงเคราะห์</t>
  </si>
  <si>
    <t>ชุด</t>
  </si>
  <si>
    <t>หลัก</t>
  </si>
  <si>
    <t>กม.</t>
  </si>
  <si>
    <t xml:space="preserve">   รายการ</t>
  </si>
  <si>
    <t>บาท</t>
  </si>
  <si>
    <t>งานผิวไหล่ทาง</t>
  </si>
  <si>
    <t>ม. )</t>
  </si>
  <si>
    <t>3.2 Tack  Coat</t>
  </si>
  <si>
    <t>3.1 Prime  Coat</t>
  </si>
  <si>
    <t>4.1 สีเทอร์โมพลาสติก</t>
  </si>
  <si>
    <t>เมตร</t>
  </si>
  <si>
    <t>5.1 งานปรับปรุง</t>
  </si>
  <si>
    <t>5.2 งานติดตั้ง</t>
  </si>
  <si>
    <t xml:space="preserve">หินคลุก      </t>
  </si>
  <si>
    <t xml:space="preserve"> บาท/ลบ.ม.(หลวม)</t>
  </si>
  <si>
    <t xml:space="preserve"> ตร.ม./ตัน )</t>
  </si>
  <si>
    <t>A =   ราคายางแอสฟัลท์ (AC 60 - 70 ) ที่ แหล่งบวกด้วยค่าขนส่งถึงที่ตั้งโรงงานผสมแอสฟัลติกคอนกรีต (บาท/ตัน)</t>
  </si>
  <si>
    <t>B  =  ราคาหินปากโม่บวกด้วยค่าขนส่งจากปากโม่ ถึงที่ตั้งโรงงานผสมแอสฟัลติกคอนกรีต หรือจุดกองรวม (บาท/ลบ.ม.)</t>
  </si>
  <si>
    <t xml:space="preserve"> บาท/ลบ.ม.(แน่น)</t>
  </si>
  <si>
    <t>ค่าบรรทุก</t>
  </si>
  <si>
    <t xml:space="preserve">น้ำมันโซล่าเฉลี่ย </t>
  </si>
  <si>
    <t>บาท/ลิตร</t>
  </si>
  <si>
    <t>หินฝุ่น</t>
  </si>
  <si>
    <t>(งบประมาณ 100 %) ดอกเบี้ยเงินกู้</t>
  </si>
  <si>
    <t>%</t>
  </si>
  <si>
    <t>ค่าขนส่งหิน</t>
  </si>
  <si>
    <t>เงินล่วงหน้าจ่าย</t>
  </si>
  <si>
    <t xml:space="preserve">ค่าขนส่งยาง  </t>
  </si>
  <si>
    <t>ดอกเบี้ยเงินฝาก</t>
  </si>
  <si>
    <t>Traffic  Factor</t>
  </si>
  <si>
    <t>เงินประกันผลงาน</t>
  </si>
  <si>
    <t>ภาษีมูลค่าเพิ่ม ( VAT )</t>
  </si>
  <si>
    <t>อยู่ในพื้นที่</t>
  </si>
  <si>
    <t>ฝนตกปกติ</t>
  </si>
  <si>
    <t>ฝนตกชุก</t>
  </si>
  <si>
    <t>ตารางสรุปค่าดำเนินการและค่าเสื่อมราคา</t>
  </si>
  <si>
    <t>รวมค่างาน (บาท)</t>
  </si>
  <si>
    <t>ปกติ</t>
  </si>
  <si>
    <t xml:space="preserve"> 1. วัสดุคัดเลือก ลูกรังรองพื้นทาง</t>
  </si>
  <si>
    <t xml:space="preserve">           ขุด-ขน</t>
  </si>
  <si>
    <t>ลบ.ม.(หลวม)</t>
  </si>
  <si>
    <t xml:space="preserve">           ผสม (ผสมกับวัสดุอื่น  ๆ)</t>
  </si>
  <si>
    <t>ลบ.ม.(แน่น)</t>
  </si>
  <si>
    <t xml:space="preserve">           บดทับ</t>
  </si>
  <si>
    <t xml:space="preserve"> 2. งานพื้นทาง (หินคลุก)</t>
  </si>
  <si>
    <t xml:space="preserve">           ผสม  (Blend)</t>
  </si>
  <si>
    <t xml:space="preserve"> 3. งานขุดรื้อคันทางเดิมแล้วบดทับ</t>
  </si>
  <si>
    <t xml:space="preserve">           ลูกรัง       10  ซม.</t>
  </si>
  <si>
    <t xml:space="preserve">           หินคลุก    10  ซม.</t>
  </si>
  <si>
    <t xml:space="preserve">           ผิว AC  5  ซม. (ขนทิ้ง)</t>
  </si>
  <si>
    <t xml:space="preserve"> 4. งานราดยางไพร์มโค้ท</t>
  </si>
  <si>
    <t xml:space="preserve"> 5. งานราดยางแทคโค้ท</t>
  </si>
  <si>
    <t xml:space="preserve"> 6. งานผิวทางแอสฟัลติกคอนกรีต</t>
  </si>
  <si>
    <t>ตัน</t>
  </si>
  <si>
    <t>7. ค่าแรงงาน  Cape Seal</t>
  </si>
  <si>
    <t xml:space="preserve">           Chip  Seal</t>
  </si>
  <si>
    <t>ตร.ม</t>
  </si>
  <si>
    <t xml:space="preserve">            Fog   Spray</t>
  </si>
  <si>
    <t xml:space="preserve">            Slurry  Seal</t>
  </si>
  <si>
    <t>FACTOR D</t>
  </si>
  <si>
    <t>ความหนา(มม.)</t>
  </si>
  <si>
    <t>Factor สำหรับงานบำรุงทาง (สำหรับงานซ่อมสร้างผิวลาดยาง)</t>
  </si>
  <si>
    <t>ตาราง FACTOR F งานทาง</t>
  </si>
  <si>
    <t>ระยะเวลาการเบิกจ่าย</t>
  </si>
  <si>
    <t xml:space="preserve">  เดือน</t>
  </si>
  <si>
    <t>คำนวนค่า Factor F</t>
  </si>
  <si>
    <t>ค่างาน(ทุน)</t>
  </si>
  <si>
    <t>เวลาทำการ</t>
  </si>
  <si>
    <t>ค่า</t>
  </si>
  <si>
    <t>ดอก</t>
  </si>
  <si>
    <t>กำไร</t>
  </si>
  <si>
    <t>รวมในรูป</t>
  </si>
  <si>
    <t xml:space="preserve">ภาษี </t>
  </si>
  <si>
    <t>ล้านบาท</t>
  </si>
  <si>
    <t>เดือน</t>
  </si>
  <si>
    <t>อำนวยการ</t>
  </si>
  <si>
    <t>เบี้ย</t>
  </si>
  <si>
    <t>Factor</t>
  </si>
  <si>
    <t>(ปกติ)</t>
  </si>
  <si>
    <t>รถบรรทุกสิบล้อ + รถลากพ่วง</t>
  </si>
  <si>
    <t>บาท/ตร.ม.</t>
  </si>
  <si>
    <t xml:space="preserve">  - ค่าวัสดุที่แหล่ง</t>
  </si>
  <si>
    <t xml:space="preserve">  - ค่าเสื่อมราคาขุดตัก</t>
  </si>
  <si>
    <t xml:space="preserve">  - ค่าขนส่ง</t>
  </si>
  <si>
    <t xml:space="preserve">  - ค่าเสื่อมราคาบดทับ</t>
  </si>
  <si>
    <t>แห่ง</t>
  </si>
  <si>
    <t>ราคาแอสฟัลติกที่เลือก</t>
  </si>
  <si>
    <t xml:space="preserve">   5.1.1 หลักแนวโค้ง ค.ส.ล.</t>
  </si>
  <si>
    <t xml:space="preserve">   5.1.2 หลักกิโลเมตร</t>
  </si>
  <si>
    <t xml:space="preserve">   5.2.1 ป้ายกำหนดน้ำหนักบรรทุก</t>
  </si>
  <si>
    <t xml:space="preserve">   5.2.2 ป้ายจราจรแบบ บ1.</t>
  </si>
  <si>
    <t xml:space="preserve">   5.2.3 ป้ายจราจรแบบ บ2.</t>
  </si>
  <si>
    <t xml:space="preserve">   5.2.4 ป้ายจราจร บ3 - บ55</t>
  </si>
  <si>
    <t>ปุ่ม</t>
  </si>
  <si>
    <t xml:space="preserve">   5.1.3 ป้ายจราจร</t>
  </si>
  <si>
    <t xml:space="preserve">   5.1.4 GUARD RAIL</t>
  </si>
  <si>
    <t>ยาง CSS-1</t>
  </si>
  <si>
    <t>ยาง AC 60-70</t>
  </si>
  <si>
    <t>ยาง CRS-2</t>
  </si>
  <si>
    <t>หิน3/4"</t>
  </si>
  <si>
    <t>หิน1/2"</t>
  </si>
  <si>
    <t>หิน3/8"</t>
  </si>
  <si>
    <t>หินผสมแอสฟัลต์</t>
  </si>
  <si>
    <t>ข้อมูลแหล่งวัสดุและระยะทางขนส่ง</t>
  </si>
  <si>
    <t>ใช้</t>
  </si>
  <si>
    <t>1.006 เมื่อปริมาณจราจรน้อยกว่า 1000 คัน/วัน</t>
  </si>
  <si>
    <t>1.013 เมื่อปริมาณจราจรมากกว่า 1000 คัน/วัน</t>
  </si>
  <si>
    <t xml:space="preserve"> 1 เมื่อใช้รถรถบรรทุก 10 ล้อ ในการขนส่งวัสดุ</t>
  </si>
  <si>
    <t>ดอกเบี้ยเงินกู้</t>
  </si>
  <si>
    <t>(งบประมาณ 100 %)</t>
  </si>
  <si>
    <t>ยอดยกไป</t>
  </si>
  <si>
    <t>ยอดยกมา</t>
  </si>
  <si>
    <t>ฝนตกชุก 1</t>
  </si>
  <si>
    <t xml:space="preserve">ฝนตกชุก 2 </t>
  </si>
  <si>
    <t>ฝนตกชุก 2</t>
  </si>
  <si>
    <t>ราคาน้ำมันโซล่า เฉลี่ย</t>
  </si>
  <si>
    <r>
      <t xml:space="preserve">ตารางค่าขนส่งค่าวัสดุก่อสร้าง  </t>
    </r>
    <r>
      <rPr>
        <b/>
        <sz val="13.5"/>
        <color indexed="10"/>
        <rFont val="DilleniaUPC"/>
        <family val="1"/>
        <charset val="222"/>
      </rPr>
      <t>รถบรรทุกสิบล้อ</t>
    </r>
  </si>
  <si>
    <t xml:space="preserve">     งานปูลาดและบดทับผิว  AC หนา 5 ซม.</t>
  </si>
  <si>
    <t xml:space="preserve">     บนผิวไพร์มโค้ท</t>
  </si>
  <si>
    <t xml:space="preserve">     บนผิวแทคโค้ท</t>
  </si>
  <si>
    <t xml:space="preserve">     ค่าผสมวัสดุแอสฟัลติกคอนกรีต</t>
  </si>
  <si>
    <t xml:space="preserve"> 2 เมื่อใช้รถบรรทุก 10 ล้อ + รถลากพ่วง ในการขนส่งวัสดุ</t>
  </si>
  <si>
    <t xml:space="preserve">Factor F  </t>
  </si>
  <si>
    <t xml:space="preserve">Factor F </t>
  </si>
  <si>
    <t>8. Pavement In-Place Recycling</t>
  </si>
  <si>
    <t xml:space="preserve">           ขุดลึก 20 ซม.</t>
  </si>
  <si>
    <t>วัสดุคัดเลือก</t>
  </si>
  <si>
    <t>9. งานถางป่าขุดต่อ</t>
  </si>
  <si>
    <t xml:space="preserve">     ขนาดกลาง</t>
  </si>
  <si>
    <t>10.งานตัดแต่งขั้นบันได</t>
  </si>
  <si>
    <t xml:space="preserve">  - ค่าผสม</t>
  </si>
  <si>
    <t xml:space="preserve">ชนิดผิวทาง   </t>
  </si>
  <si>
    <t xml:space="preserve">                                         </t>
  </si>
  <si>
    <t xml:space="preserve">ชนิดไหล่ทาง  </t>
  </si>
  <si>
    <t>Factor  F</t>
  </si>
  <si>
    <t>รวมค่างานก่อสร้าง</t>
  </si>
  <si>
    <t xml:space="preserve">   หมายเหตุ</t>
  </si>
  <si>
    <t xml:space="preserve"> - เงินล่วงหน้าจ่าย </t>
  </si>
  <si>
    <t xml:space="preserve"> - ดอกเบี้ยเงินกู้      </t>
  </si>
  <si>
    <t xml:space="preserve"> - เงินประกันผลงานหัก </t>
  </si>
  <si>
    <t xml:space="preserve"> - พื้นที่</t>
  </si>
  <si>
    <t>สรุป</t>
  </si>
  <si>
    <t xml:space="preserve">ระยะทางดำเนินการ       </t>
  </si>
  <si>
    <t>เฉลี่ยราคา  กม.ละ</t>
  </si>
  <si>
    <t>1.1 งานถางป่าขุดตอ</t>
  </si>
  <si>
    <t>2.3 Asphaltic  Concrete</t>
  </si>
  <si>
    <t>3.3 Asphaltic  Concrete</t>
  </si>
  <si>
    <t>ซม.</t>
  </si>
  <si>
    <t>11.งานดินตัด - ขึ้นรูปคันทาง</t>
  </si>
  <si>
    <t xml:space="preserve">     ดิน - ขุดตัด</t>
  </si>
  <si>
    <t>ลบ.ม (ปกติ)</t>
  </si>
  <si>
    <t>12. งานดินคันทาง</t>
  </si>
  <si>
    <t xml:space="preserve">     ขุด - ขน</t>
  </si>
  <si>
    <t xml:space="preserve">      บดทับ</t>
  </si>
  <si>
    <t>ดินถม</t>
  </si>
  <si>
    <t>1. งานวัสดุดินถม ( จากการขนส่ง )</t>
  </si>
  <si>
    <t>2. งานวัสดุคัดเลือก</t>
  </si>
  <si>
    <t>3. งานลูกรัง</t>
  </si>
  <si>
    <t xml:space="preserve">        ขุดรื้อหินคลุก</t>
  </si>
  <si>
    <t xml:space="preserve"> ตัน/ตร.ม.</t>
  </si>
  <si>
    <t>ม.</t>
  </si>
  <si>
    <t>ซีเมนต์</t>
  </si>
  <si>
    <t xml:space="preserve">อัตราการยุบตัว  </t>
  </si>
  <si>
    <t>5. งานขุดซ่อมผิวทางเดิม (Deep  Patch)</t>
  </si>
  <si>
    <t xml:space="preserve">  - ค่าวัสดุ</t>
  </si>
  <si>
    <t xml:space="preserve">       รวมค่าวัสดุ</t>
  </si>
  <si>
    <t xml:space="preserve">  - ค่าดำเนินการและค่าเสื่อมราคางานขุดรื้อพื้นทางเดิมแล้วบดทับ</t>
  </si>
  <si>
    <t xml:space="preserve">                รวมค่าวัสดุและขนส่ง</t>
  </si>
  <si>
    <t xml:space="preserve">                รวมค่าวัสดุและค่าแรงเป็นเงิน</t>
  </si>
  <si>
    <t xml:space="preserve">               รวมค่าวัสดุและขนส่ง</t>
  </si>
  <si>
    <t xml:space="preserve">               รวมค่าวัสดุและค่าแรงเป็นเงิน</t>
  </si>
  <si>
    <t xml:space="preserve">  - ค่าวัสดุหินคลุก</t>
  </si>
  <si>
    <t xml:space="preserve">                รวมค่าวัสดุ</t>
  </si>
  <si>
    <t xml:space="preserve">  - Tack Coat</t>
  </si>
  <si>
    <t xml:space="preserve">  - Hot Mix</t>
  </si>
  <si>
    <t xml:space="preserve">  - ค่าดำเนินการและค่าเสื่อมราคางาน Tack Coat ปูลาดและบดทับ</t>
  </si>
  <si>
    <t xml:space="preserve">  - ราคายางจากโรงงาน</t>
  </si>
  <si>
    <t xml:space="preserve">                รวมค่ายาง</t>
  </si>
  <si>
    <t xml:space="preserve">   5.2.13 ป้ายจราจรแบบ ต71 - ต73</t>
  </si>
  <si>
    <t xml:space="preserve">   5.2.14 ป้ายจราจรแบบ ต74</t>
  </si>
  <si>
    <t xml:space="preserve">   5.2.15 ป้ายจราจรแบบ ต76</t>
  </si>
  <si>
    <t xml:space="preserve">   5.2.16 ป้ายจราจรแบบ ต77</t>
  </si>
  <si>
    <t xml:space="preserve">   5.2.17 ป้ายจราจรแบบ ต78</t>
  </si>
  <si>
    <t xml:space="preserve">   5.2.18 ป้ายจราจรแบบ น1</t>
  </si>
  <si>
    <t xml:space="preserve">   5.2.19 ป้ายจราจรแบบ น2 ( 1 แผ่นป้าย )</t>
  </si>
  <si>
    <t xml:space="preserve">   5.2.20 ป้ายจราจรแบบ น2 ( 2 แผ่นป้าย )</t>
  </si>
  <si>
    <t xml:space="preserve">   5.2.21 ป้ายจราจรแบบ น2 ( 3 แผ่นป้าย )</t>
  </si>
  <si>
    <t xml:space="preserve">   5.2.22 ป้ายจราจรแบบ น3</t>
  </si>
  <si>
    <t xml:space="preserve">   5.2.23 ป้ายจราจรแบบ น4</t>
  </si>
  <si>
    <t xml:space="preserve">   5.2.24 ป้ายจราจรแบบ น5</t>
  </si>
  <si>
    <t xml:space="preserve">7. งานปะซ่อมผิวทางเดิม (Skin Patch) </t>
  </si>
  <si>
    <t>8. งานไพร์มโค้ท</t>
  </si>
  <si>
    <t xml:space="preserve">11. งานผิวทางแอสฟัลติคคอนกรีต  </t>
  </si>
  <si>
    <t>1.2 งานเกลี่ยปรับไหล่ทางเดิมแล้วบดทับ ( ไหล่ลูกรัง )</t>
  </si>
  <si>
    <t>1.3 งานปรับดินเดิมแล้วบดทับ</t>
  </si>
  <si>
    <t>1.4 งาน Benching</t>
  </si>
  <si>
    <t>1.6 งานดินถม ( จากการขนส่ง )</t>
  </si>
  <si>
    <t>1.7 งานวัสดุคัดเลือกบดอัดแน่น</t>
  </si>
  <si>
    <t>1.8 งานรองพื้นทาง (ลูกรังบดอัดแน่น)</t>
  </si>
  <si>
    <t>1.9 หินคลุกบดอัดแน่น</t>
  </si>
  <si>
    <t>1.12 Deep  Patch</t>
  </si>
  <si>
    <t>1.13 งาน Pavement In - Place Recycling</t>
  </si>
  <si>
    <t>4.2 Rumble Strips</t>
  </si>
  <si>
    <t>4.3 ทางม้าลาย</t>
  </si>
  <si>
    <t xml:space="preserve">   5.2.28 ป้ายจราจรแบบ </t>
  </si>
  <si>
    <t xml:space="preserve">   5.2.29 ป้ายจราจรแบบ </t>
  </si>
  <si>
    <t xml:space="preserve">   5.2.32 หลักแนวโค้ง ค.ส.ล.</t>
  </si>
  <si>
    <t xml:space="preserve">   5.2.33 หลักกิโลเมตร</t>
  </si>
  <si>
    <t xml:space="preserve">   5.2.34 หลักเขตทาง</t>
  </si>
  <si>
    <t xml:space="preserve">   5.2.35 หลักนำทาง</t>
  </si>
  <si>
    <t xml:space="preserve">   5.2.38 ตีเส้นทางรถไฟตัดผ่าน</t>
  </si>
  <si>
    <t xml:space="preserve">   5.2.39 ติดตั้งปุ่มสะท้อนแสง ( 2 หน้า )</t>
  </si>
  <si>
    <t xml:space="preserve">   5.2.40 ติดตั้งสัญญาณไฟกระพริบ</t>
  </si>
  <si>
    <t xml:space="preserve">   5.2.41 ปรับปรุงสะพาน คสล</t>
  </si>
  <si>
    <t xml:space="preserve">  - ค่าเสื่อมราคาบดทับหินคลุกปรับระดับ</t>
  </si>
  <si>
    <t>\</t>
  </si>
  <si>
    <t>1.10 หินคลุกปรับระดับ (หลวม)</t>
  </si>
  <si>
    <t xml:space="preserve"> - ปริมาณงาน Asphalt Concrete ทั้งโครงการ</t>
  </si>
  <si>
    <t xml:space="preserve"> - ค่าติดตั้งเครื่องผสม = 250,000</t>
  </si>
  <si>
    <t xml:space="preserve">   (ยางAC + ค่าขนส่ง) x 0.052</t>
  </si>
  <si>
    <t xml:space="preserve">   (หินผสม + ค่าขนส่ง) x 0.74</t>
  </si>
  <si>
    <t xml:space="preserve">  - ค่าดำเนินการ + ค่าเสื่อมผสมแอสฟัลติกคอนกรีต</t>
  </si>
  <si>
    <t xml:space="preserve"> - ค่าขนส่งแอสฟัลติกคอนกรีตในสายทาง ระยะทาง </t>
  </si>
  <si>
    <t xml:space="preserve">   ค่าใช้จ่ายรวม    </t>
  </si>
  <si>
    <t xml:space="preserve">   ค่างานต้นทุน</t>
  </si>
  <si>
    <t xml:space="preserve"> ซม.                (</t>
  </si>
  <si>
    <t xml:space="preserve"> 11.1 กรณีปริมาณงานน้อยกว่าหรือเท่ากับ 10,000 ตัน</t>
  </si>
  <si>
    <t xml:space="preserve"> 11.2 กรณีปริมาณงานมากกว่า 10,000 ตัน</t>
  </si>
  <si>
    <t>ระยะทางดำเนินการ</t>
  </si>
  <si>
    <t xml:space="preserve">        ขุดรื้อรองพื้นทาง(ลูกรัง)</t>
  </si>
  <si>
    <t xml:space="preserve">  - ค่าดำเนินการ,ค่าเสื่อมราคาผสมและบดทับ (หินคลุกใหม่)</t>
  </si>
  <si>
    <t xml:space="preserve">   5.2.7 ป้ายจราจร ต61</t>
  </si>
  <si>
    <t xml:space="preserve">   5.2.9 ป้ายจราจรแบบ ต64,ต67</t>
  </si>
  <si>
    <t xml:space="preserve">   5.2.10 ป้ายจราจรแบบ ต65,ต68</t>
  </si>
  <si>
    <t xml:space="preserve">   5.2.11 ป้ายจราจรแบบ ต69</t>
  </si>
  <si>
    <t xml:space="preserve">   5.2.12 ป้ายจราจรแบบ ต70</t>
  </si>
  <si>
    <t xml:space="preserve">   5.2.6 ป้ายจราจร ต28-ต30,ต57,ต62</t>
  </si>
  <si>
    <t xml:space="preserve"> - ค่าขนส่งอุปกรณ์ 80 ตัน ระยะทางขนส่ง 100 กม.</t>
  </si>
  <si>
    <t>บาท/ตัน     รวม ค่าวัสดุ+ค่าขนส่ง</t>
  </si>
  <si>
    <t>สรุปผลการเปรียบเทียบราคายาง</t>
  </si>
  <si>
    <t>ประมาณราคา</t>
  </si>
  <si>
    <t>ตรวจ</t>
  </si>
  <si>
    <t>ราคา</t>
  </si>
  <si>
    <t>รายการการปรียบเทียบราคายางแอสฟัลต์</t>
  </si>
  <si>
    <t>ราคาต่อหน่วย</t>
  </si>
  <si>
    <t xml:space="preserve">  =</t>
  </si>
  <si>
    <t>รวมเป็นราคาค่าก่อสร้างประมาณ</t>
  </si>
  <si>
    <t xml:space="preserve">   5.2.42 Timber Barricade</t>
  </si>
  <si>
    <t>1.5 งานดินตัด</t>
  </si>
  <si>
    <t xml:space="preserve">ไหล่ทางกว้างข้างละ             </t>
  </si>
  <si>
    <t xml:space="preserve">         ระยะขนส่ง</t>
  </si>
  <si>
    <t>บาท/ตัน     รวม ค่าวัสดุ - ค่าขนส่ง</t>
  </si>
  <si>
    <t>ให้คิด</t>
  </si>
  <si>
    <t>บาท/ตัน    ระยะขนส่ง</t>
  </si>
  <si>
    <t>เห็นชอบ</t>
  </si>
  <si>
    <t>นายสุรศักดิ์  ไกรพินิจ</t>
  </si>
  <si>
    <t xml:space="preserve">  - ราคาน้ำมันโซล่าที่  กทม  เฉลี่ย</t>
  </si>
  <si>
    <t xml:space="preserve">  - ราคาน้ำมันโซล่า ณ อำเภอเมือง ของสถานที่ก่อสร้าง เฉลี่ย</t>
  </si>
  <si>
    <t xml:space="preserve">  - สายทางอยู่ในเขตพื้นที่  </t>
  </si>
  <si>
    <t xml:space="preserve">   5.2.5 ป้ายจราจรแบบ ต1-ต27,ต31-ต56,ต58-ต60,ต75</t>
  </si>
  <si>
    <t xml:space="preserve">   5.2.25 ป้ายจราจรแบบ น6 </t>
  </si>
  <si>
    <t xml:space="preserve">   5.2.26 ป้ายจราจรแบบ น7 - น20</t>
  </si>
  <si>
    <t>……………………………………………………………..</t>
  </si>
  <si>
    <t>....................................................................</t>
  </si>
  <si>
    <t>กรมทางหลวงชนบท</t>
  </si>
  <si>
    <t>กระทรวงคมนาคม</t>
  </si>
  <si>
    <t>-</t>
  </si>
  <si>
    <t xml:space="preserve">  กิโลเมตร</t>
  </si>
  <si>
    <t xml:space="preserve">  ค่างานต้นทุนงานทาง</t>
  </si>
  <si>
    <t>(ก) งานทาง</t>
  </si>
  <si>
    <t xml:space="preserve">    สายทาง </t>
  </si>
  <si>
    <t>รวมค่างานค้นทุนงานทาง (ก)</t>
  </si>
  <si>
    <t>(ข) งานอื่นๆ</t>
  </si>
  <si>
    <t xml:space="preserve">   1.1 รูปแบบที่ 1 งานก่อสร้างทางในเขตไหล่ทางโดยที่มี</t>
  </si>
  <si>
    <t xml:space="preserve">   1.2 รูปแบบที่ 2 งานก่อสร้างที่มีการปิดช่องจราจร</t>
  </si>
  <si>
    <t xml:space="preserve">   1.3 รูปแบบที่ 3 งานก่อสร้างที่มีการปิดบริเวณกลางถนน</t>
  </si>
  <si>
    <t xml:space="preserve">   1.4 รูปแบบที่ 4 งานก่อสร้างที่ปิดถนนให้ใช้ทางเบิ่ยง</t>
  </si>
  <si>
    <t xml:space="preserve">   1.5 รูปแบบที่ 5 งานก่อสร้างบริเวณสะพาน</t>
  </si>
  <si>
    <t>รวมค่างานค้นทุนงานอื่นๆ (ข)</t>
  </si>
  <si>
    <t>รวมค่างานก่อสร้างโดยประมาณ (ก) + (ข)</t>
  </si>
  <si>
    <t xml:space="preserve">   1.8  รูปแบบที่ 8 พื้นที่ก่อสร้างบริเวณกลางถนน  กรณี 4 ช่องจราจร  </t>
  </si>
  <si>
    <t xml:space="preserve">        (จำนวนช่องจราจรเท่าเดิม)</t>
  </si>
  <si>
    <t xml:space="preserve">   1.9  รูปแบบที่ 9 พื้นที่ก่อสร้างบริเวณกลางถนน  กรณี 4 ช่องจราจร  </t>
  </si>
  <si>
    <t xml:space="preserve">       (ลดจำนวนช่องจราจร)</t>
  </si>
  <si>
    <t xml:space="preserve">1.11 Skin   Patch </t>
  </si>
  <si>
    <t>กก./ลบ.ม.</t>
  </si>
  <si>
    <t xml:space="preserve">    ระยะทาง</t>
  </si>
  <si>
    <t>กิโลเมตร</t>
  </si>
  <si>
    <t>ถึง กม.</t>
  </si>
  <si>
    <t>ระยะทาง</t>
  </si>
  <si>
    <t>กรมทางหลวงชนบท  กระทรวงคมนาคม</t>
  </si>
  <si>
    <t>สารบัญแบบ</t>
  </si>
  <si>
    <t>แผ่นที่</t>
  </si>
  <si>
    <t>แผนที่สังเขป</t>
  </si>
  <si>
    <t>1 แผ่น</t>
  </si>
  <si>
    <t>แบบแสดงสรุปปริมาณงาน</t>
  </si>
  <si>
    <t xml:space="preserve">กรมทางหลวงชนบท     สำนักทางหลวงชนบทที่ 16 (กาฬสินธุ์) </t>
  </si>
  <si>
    <t>สำรวจ</t>
  </si>
  <si>
    <t>เขียนแบบ</t>
  </si>
  <si>
    <t>ผู้อำนวยการสำนัก ฯ</t>
  </si>
  <si>
    <t>แบบแสดง</t>
  </si>
  <si>
    <t>อนุมัติ</t>
  </si>
  <si>
    <t>ผอ.ส่วนบูรณะ</t>
  </si>
  <si>
    <t>( แทน ) อธิบดี</t>
  </si>
  <si>
    <t>ทำ Deep  Patch แก้ไขโครงสร้างทางเดิม</t>
  </si>
  <si>
    <t>ทำ  PRIME COAT  พื้นทาง และพื้นไหล่ทาง</t>
  </si>
  <si>
    <t>โครงสร้างทางเดิม</t>
  </si>
  <si>
    <t>ทำการขุดกัดผิวทางเดิม , พื้นทางและไหล่ทางเดิม โดยวิธี Pavement  In-Place  Recycling</t>
  </si>
  <si>
    <t>และมีค่าแรงอัด (UNCONFINED  COMPRESSIVE  STRENGTH) ไม่น้อยกว่า 17.5 KSC.</t>
  </si>
  <si>
    <t>ลบ.ม. (หลวม)</t>
  </si>
  <si>
    <t>NOT  TO  SCALE</t>
  </si>
  <si>
    <t xml:space="preserve">หลังจากดำเนินการปรับปรุงงานซ่อมสร้างผิวทางแอสฟัลติกคอนกรีต  โดยวิธี  Pavement  In - Place  Recycling   </t>
  </si>
  <si>
    <t>แล้วให้ทำการตัดหญ้าสองข้างทางออกไปไม่น้อยกว่า 1.00  ม.</t>
  </si>
  <si>
    <t xml:space="preserve">   2. ป้ายจราจรที่นำมาใช้ในโครงการนี้จะต้องเป็นของใหม่โดยไม่ผ่านการใช้งานมาก่อน</t>
  </si>
  <si>
    <t xml:space="preserve">   3. ด้านหล้งป้ายจราจรทุกแผ่นจะตอกรหัสสัญญาจ้างและชื่อรหัสสายทางของโครงการนั้นๆ</t>
  </si>
  <si>
    <t xml:space="preserve">   4. ผู้รับจ้างดำเนินการติดตั้งป้ายจราจรระหว่างก่อสร้างตามแบบมาตรฐานป้ายจราจรระหว่างก่อสร้างให้ชัดเจนและเพียงพอ</t>
  </si>
  <si>
    <t xml:space="preserve">       เพื่อให้เกิดความปลอดภัยแก่ผู้ใช้เส้นทาง ทั้งนี้ให้อยู่ในดุลยพินิจของผู้ควบคุมงาน</t>
  </si>
  <si>
    <t>บัญชีปริมาณงาน</t>
  </si>
  <si>
    <t>ปริมาณงาน</t>
  </si>
  <si>
    <t>4.2 งานติดตั้ง</t>
  </si>
  <si>
    <r>
      <t xml:space="preserve">   4.2.27 </t>
    </r>
    <r>
      <rPr>
        <sz val="13.5"/>
        <rFont val="TH SarabunPSK"/>
        <family val="2"/>
      </rPr>
      <t xml:space="preserve">ป้ายจราจรแบบ </t>
    </r>
    <r>
      <rPr>
        <sz val="13"/>
        <rFont val="TH SarabunPSK"/>
        <family val="2"/>
      </rPr>
      <t>บ3-บ55+ต1-ต28,ต31-ต56,ต56-ต60,ต75</t>
    </r>
  </si>
  <si>
    <t xml:space="preserve">   4.2.1 ป้ายกำหนดน้ำหนักบรรทุก</t>
  </si>
  <si>
    <r>
      <t xml:space="preserve">   4.2.28 ป้ายจราจรแบบ </t>
    </r>
    <r>
      <rPr>
        <sz val="13"/>
        <rFont val="TH SarabunPSK"/>
        <family val="2"/>
      </rPr>
      <t>บ3-บ55 + ต71-ต73</t>
    </r>
  </si>
  <si>
    <t xml:space="preserve">   4.2.2 ป้ายจราจรแบบ บ1.</t>
  </si>
  <si>
    <t xml:space="preserve">   4.2.29 หลักแนวโค้ง ค.ส.ล.</t>
  </si>
  <si>
    <t xml:space="preserve">   4.2.3 ป้ายจราจรแบบ บ2.</t>
  </si>
  <si>
    <t xml:space="preserve">   4.2.30 หลักกิโลเมตร</t>
  </si>
  <si>
    <t xml:space="preserve">   4.2.4 ป้ายจราจร บ3 - บ55</t>
  </si>
  <si>
    <t xml:space="preserve">   4.2.31 หลักเขตทาง</t>
  </si>
  <si>
    <t xml:space="preserve">   4.2.5 ป้ายจราจรแบบ ต1-ต27,ต31-ต56,ต58-ต60,ต75</t>
  </si>
  <si>
    <t xml:space="preserve">   4.2.32 หลักนำทาง</t>
  </si>
  <si>
    <t xml:space="preserve">   4.2.6 ป้ายจราจร ต28-ต30,ต57,ต62</t>
  </si>
  <si>
    <t xml:space="preserve">   4.2.33 Guard  Rail บริเวณทางโค้ง</t>
  </si>
  <si>
    <t xml:space="preserve">   4.2.7 ป้ายจราจร ต61</t>
  </si>
  <si>
    <t xml:space="preserve">   4.2.34 Guard  Rail บริเวณคอสะพาน</t>
  </si>
  <si>
    <r>
      <t xml:space="preserve">   4.2.8 ป้ายจราจรแบบ ต63,ต66</t>
    </r>
    <r>
      <rPr>
        <sz val="12"/>
        <rFont val="TH SarabunPSK"/>
        <family val="2"/>
      </rPr>
      <t xml:space="preserve"> (2 แผ่นป้ายต่อชุด)</t>
    </r>
  </si>
  <si>
    <t xml:space="preserve">   4.2.35 ตีเส้นทางรถไฟตัดผ่าน</t>
  </si>
  <si>
    <t xml:space="preserve">   4.2.9 ป้ายจราจรแบบ ต64,ต67</t>
  </si>
  <si>
    <t xml:space="preserve">   4.2.36 ติดตั้งปุ่มสะท้อนแสง ( 2 หน้า )</t>
  </si>
  <si>
    <t xml:space="preserve">   4.2.10 ป้ายจราจรแบบ ต65,ต68</t>
  </si>
  <si>
    <t xml:space="preserve">   4.2.37 ติดตั้งสัญญาณไฟกระพริบ</t>
  </si>
  <si>
    <t xml:space="preserve">   4.2.11 ป้ายจราจรแบบ ต69</t>
  </si>
  <si>
    <t xml:space="preserve">   4.2.38 ปรับปรุงสะพาน คสล</t>
  </si>
  <si>
    <t xml:space="preserve">   4.2.12 ป้ายจราจรแบบ ต70</t>
  </si>
  <si>
    <t xml:space="preserve">   4.2.39 Timber Barricade</t>
  </si>
  <si>
    <t xml:space="preserve">   4.2.13 ป้ายจราจรแบบ ต71 - ต73</t>
  </si>
  <si>
    <t xml:space="preserve">   4.2.14 ป้ายจราจรแบบ ต74</t>
  </si>
  <si>
    <t>1</t>
  </si>
  <si>
    <t xml:space="preserve">   4.2.15 ป้ายจราจรแบบ ต76</t>
  </si>
  <si>
    <t>2</t>
  </si>
  <si>
    <t>งานผิวทางและผิวไหล่ทาง</t>
  </si>
  <si>
    <t xml:space="preserve">   4.2.16 ป้ายจราจรแบบ ต77</t>
  </si>
  <si>
    <t xml:space="preserve">   4.2.17 ป้ายจราจรแบบ ต78</t>
  </si>
  <si>
    <t xml:space="preserve">   4.2.18 ป้ายจราจรแบบ น1</t>
  </si>
  <si>
    <t xml:space="preserve">   4.2.19 ป้ายจราจรแบบ น2 ( 1 แผ่นป้าย )</t>
  </si>
  <si>
    <t xml:space="preserve">   4.2.20 ป้ายจราจรแบบ น2 ( 2 แผ่นป้าย )</t>
  </si>
  <si>
    <t xml:space="preserve">   1.6 รูปแบบที่ 6 งานก่อสร้างที่ปิดถนนให้ใช้ทางเบี่ยงซ่องทางเดียว</t>
  </si>
  <si>
    <t xml:space="preserve">   1.7 รูปแบบที่ 7 งานก่อสร้างที่มีการปิดช่องจราจรบริเวณ 4 แยกขาออก</t>
  </si>
  <si>
    <t xml:space="preserve">   4.2.22 ป้ายจราจรแบบ น3</t>
  </si>
  <si>
    <t xml:space="preserve">   1.8 รูปแบบที่ 8 พื้นที่ก่อสร้างบริเวณกลางถนน กรณี 4 ช่องจราจร  </t>
  </si>
  <si>
    <t>3</t>
  </si>
  <si>
    <t xml:space="preserve">   4.2.23 ป้ายจราจรแบบ น4</t>
  </si>
  <si>
    <t xml:space="preserve">   4.2.24 ป้ายจราจรแบบ น6 - น17</t>
  </si>
  <si>
    <t xml:space="preserve">   1.9 รูปแบบที่ 9 พื้นที่ก่อสร้างบริเวณกลางถนน  กรณี 4 ช่องจราจร  </t>
  </si>
  <si>
    <t>4.2 สี Traffic Paint</t>
  </si>
  <si>
    <t xml:space="preserve">   4.2.25 ป้ายจราจรแบบ น5</t>
  </si>
  <si>
    <t xml:space="preserve">        (ลดจำนวนช่องจราจร)</t>
  </si>
  <si>
    <t>4.3 Rumble Strips</t>
  </si>
  <si>
    <t xml:space="preserve">   4.2.26 ป้ายจราจรแบบ น7 - น20</t>
  </si>
  <si>
    <t>4.4 ทางม้าลาย</t>
  </si>
  <si>
    <t>4</t>
  </si>
  <si>
    <t>4.1 งานปรับปรุง</t>
  </si>
  <si>
    <t xml:space="preserve">   4.1.1 หลักแนวโค้ง ค.ส.ล.</t>
  </si>
  <si>
    <t xml:space="preserve">   4.1.2 หลักกิโลเมตร</t>
  </si>
  <si>
    <t xml:space="preserve">   4.1.3 ป้ายจราจร</t>
  </si>
  <si>
    <t xml:space="preserve">   4.1.4 GUARD RAIL</t>
  </si>
  <si>
    <t>สำนักทางหลวงชนบทที่ 16 (กาฬสินธุ์)</t>
  </si>
  <si>
    <t>โครงสร้างไหล่ทางเดิม</t>
  </si>
  <si>
    <t>นางสาวอาติยา  เครือวรรณ</t>
  </si>
  <si>
    <t>นายบพิตร  จันทร์เพชร</t>
  </si>
  <si>
    <t>23.50, 24.50, 25.50, 26.50, 27.50, 28.50, 29.50, 30.50, 31.50 ,32.50, 33.50, 34.50</t>
  </si>
  <si>
    <t>(</t>
  </si>
  <si>
    <t>อัตราการใช้ยาง   (</t>
  </si>
  <si>
    <t>ลิตร/ตร.ม. )</t>
  </si>
  <si>
    <t xml:space="preserve">  - ค่าดำเนินการ,ค่าเสื่อมราคาผสมและบดทับรองพื้นทาง(หินคลุกเดิม+หินคลุกใหม่)     (</t>
  </si>
  <si>
    <t>ตำแหน่ง</t>
  </si>
  <si>
    <t>สรุปผลการเปรียบเทียบราคาปูนซีเมนต์</t>
  </si>
  <si>
    <t xml:space="preserve">บาท/ตัน    </t>
  </si>
  <si>
    <t>ค่าขนส่ง</t>
  </si>
  <si>
    <t>บาท/ตัน  ระยะทาง</t>
  </si>
  <si>
    <t>กม.   ค่าขนส่ง</t>
  </si>
  <si>
    <t>บาท/ตัน รวม ค่าวัสดุ+ค่าขนส่ง</t>
  </si>
  <si>
    <t>คิดปริมาณงานช่วงที่ 1</t>
  </si>
  <si>
    <t>คิดปริมาณงานช่วง TAPER เข้าทางเชื่อม</t>
  </si>
  <si>
    <t>คิดปริมาณงานช่วงที่ 3</t>
  </si>
  <si>
    <t>คิดปริมาณงานช่วงที่ 4</t>
  </si>
  <si>
    <t>คิดปริมาณงานทางเชื่อม</t>
  </si>
  <si>
    <t>Pavement In - Place Recycling</t>
  </si>
  <si>
    <t>เสริมผิวทาง  Asphaltic  Concrete</t>
  </si>
  <si>
    <t>ทางเชื่อม</t>
  </si>
  <si>
    <t>จาก กม.ที่</t>
  </si>
  <si>
    <t>ถึง กม.ที่</t>
  </si>
  <si>
    <t>ใส่ความกว้างผิว 1</t>
  </si>
  <si>
    <t>ใส่ความกว้างผิว 2</t>
  </si>
  <si>
    <t>ใส่ความกว้างผิว 3</t>
  </si>
  <si>
    <t>ใส่ความกว้างผิว 4</t>
  </si>
  <si>
    <t>ใส่ความกว้างไหล่ 1</t>
  </si>
  <si>
    <t>ใส่ความกว้างไหล่ 2</t>
  </si>
  <si>
    <t>ใส่ความกว้างไหล่ 3</t>
  </si>
  <si>
    <t>ใส่ความกว้างไหล่ 4</t>
  </si>
  <si>
    <t>ระยะทางซ่อมฯ 1</t>
  </si>
  <si>
    <t>ระยะทางซ่อมฯ 2</t>
  </si>
  <si>
    <t>ระยะทางซ่อมฯ 3</t>
  </si>
  <si>
    <t>ระยะทางซ่อมฯ 4</t>
  </si>
  <si>
    <t xml:space="preserve">ม. </t>
  </si>
  <si>
    <t>ระยะรวม</t>
  </si>
  <si>
    <t>ปริมาณพื้นที่ผิว 1</t>
  </si>
  <si>
    <t>ปริมาณพื้นที่ผิว 2</t>
  </si>
  <si>
    <t>ปริมาณพื้นที่ผิว 3</t>
  </si>
  <si>
    <t>ปริมาณพื้นที่ผิว 4</t>
  </si>
  <si>
    <t>สีเทอร์โมพลาสติก</t>
  </si>
  <si>
    <t>ปริมาณพื้นที่ไหล่ 1</t>
  </si>
  <si>
    <t>ปริมาณพื้นที่ไหล่ 2</t>
  </si>
  <si>
    <t>ปริมาณพื้นที่ไหล่ 3</t>
  </si>
  <si>
    <t>ปริมาณพื้นที่ไหล่ 4</t>
  </si>
  <si>
    <t>เสริมหินคลุกปรับระดับหนา</t>
  </si>
  <si>
    <t>ปริมาณหินคลุกปรับระดับ</t>
  </si>
  <si>
    <t>รวมพื้นที่ 1</t>
  </si>
  <si>
    <t>รวมพื้นที่ 2</t>
  </si>
  <si>
    <t>รวมพื้นที่ 3</t>
  </si>
  <si>
    <t>รวมพื้นที่ 4</t>
  </si>
  <si>
    <t>รวมพื้นที่ผิว</t>
  </si>
  <si>
    <t>รวมพื้นที่ไหล่</t>
  </si>
  <si>
    <t>พื้นที่ Recycling</t>
  </si>
  <si>
    <t>พื้นที่  AC</t>
  </si>
  <si>
    <r>
      <rPr>
        <b/>
        <u/>
        <sz val="14"/>
        <color rgb="FFFF0000"/>
        <rFont val="TH SarabunPSK"/>
        <family val="2"/>
      </rPr>
      <t>สรุป</t>
    </r>
    <r>
      <rPr>
        <b/>
        <sz val="14"/>
        <color rgb="FFFF0000"/>
        <rFont val="TH SarabunPSK"/>
        <family val="2"/>
      </rPr>
      <t xml:space="preserve">  พื้นที่งาน  Pavement In - Place Recycling</t>
    </r>
  </si>
  <si>
    <r>
      <rPr>
        <b/>
        <u/>
        <sz val="14"/>
        <color rgb="FFFF0000"/>
        <rFont val="TH SarabunPSK"/>
        <family val="2"/>
      </rPr>
      <t xml:space="preserve">สรุป </t>
    </r>
    <r>
      <rPr>
        <b/>
        <sz val="14"/>
        <color rgb="FFFF0000"/>
        <rFont val="TH SarabunPSK"/>
        <family val="2"/>
      </rPr>
      <t xml:space="preserve"> พื้นที่งานเสริมผิวทาง  Asphaltic  Concrete</t>
    </r>
  </si>
  <si>
    <r>
      <rPr>
        <b/>
        <u/>
        <sz val="14"/>
        <color rgb="FFFF0000"/>
        <rFont val="TH SarabunPSK"/>
        <family val="2"/>
      </rPr>
      <t xml:space="preserve">สรุป </t>
    </r>
    <r>
      <rPr>
        <b/>
        <sz val="14"/>
        <color rgb="FFFF0000"/>
        <rFont val="TH SarabunPSK"/>
        <family val="2"/>
      </rPr>
      <t xml:space="preserve"> พื้นที่  Deep  Patch</t>
    </r>
  </si>
  <si>
    <t>รายการคำนวณปริมาณงาน</t>
  </si>
  <si>
    <t>จาก กม. ที่</t>
  </si>
  <si>
    <t>ความกว้างไหล่ข้างละ</t>
  </si>
  <si>
    <t>พื้นที่ผิวจราจร</t>
  </si>
  <si>
    <t>พื้นที่ผิวไหล่ทาง</t>
  </si>
  <si>
    <t>ถึง   กม. ที่</t>
  </si>
  <si>
    <t xml:space="preserve">ความกว้างผิวจราจร </t>
  </si>
  <si>
    <t>พื้นที่ผิวจราจรทั้งหมด</t>
  </si>
  <si>
    <t>พื้นที่ผิวไหล่ทางทั้งหมด</t>
  </si>
  <si>
    <t>พื้นที่ผิวทางทั้งหมด</t>
  </si>
  <si>
    <t xml:space="preserve"> - รวมพื้นที่ผิวจราจรทั้งหมด</t>
  </si>
  <si>
    <t>- รวมพื้นที่ผิวไหล่ทางทั้งหมด</t>
  </si>
  <si>
    <t>รวมระยะทางซ่อมฯ (3)</t>
  </si>
  <si>
    <t>รวมระยะทางซ่อมฯ (4)</t>
  </si>
  <si>
    <t>รวมระยะทางซ่อมฯ (2)</t>
  </si>
  <si>
    <t>สรุป  งานตีเส้นจราจร</t>
  </si>
  <si>
    <t>นายปัญญา  ไพรินทร์</t>
  </si>
  <si>
    <t>ส่วนบูรณะ  สำนักทางหลวงชนบทที่ 16  (กาฬสินธุ์)</t>
  </si>
  <si>
    <t>ออกแบบ</t>
  </si>
  <si>
    <t>RSA,ตรวจ</t>
  </si>
  <si>
    <t>Pavement In-Place Recycling</t>
  </si>
  <si>
    <t>1 ชุด</t>
  </si>
  <si>
    <t>(สีเทอร์โมพลาสติก/นอกเขตชุมชน)</t>
  </si>
  <si>
    <t>รวมพื้นที่ซ่อมฯ</t>
  </si>
  <si>
    <t>รวมระยะทางซ่อมฯ</t>
  </si>
  <si>
    <t xml:space="preserve">  - ระยะเวลาซ่อมสร้างประมาณ </t>
  </si>
  <si>
    <t>วัน</t>
  </si>
  <si>
    <t xml:space="preserve">  - ปริมาณจราจร (PCU)  </t>
  </si>
  <si>
    <t xml:space="preserve">         การจราจรรบกวนผิวทางเล็กน้อย</t>
  </si>
  <si>
    <t xml:space="preserve">โดยผสมปูนซีเมนต์ปอร์แลนด์ประเภทหนึ่ง ไม่น้อยกว่า 3.5% โดยน้ำหนัก บดอัดแน่นไม่น้อยกว่า 95 % MODIFIED PROCTOR DENSITY    </t>
  </si>
  <si>
    <r>
      <t xml:space="preserve">ตารางค่าขนส่งค่าวัสดุก่อสร้าง  </t>
    </r>
    <r>
      <rPr>
        <sz val="16"/>
        <color rgb="FFFF0000"/>
        <rFont val="AngsanaUPC"/>
        <family val="1"/>
        <charset val="222"/>
      </rPr>
      <t>รถบรรทุกสิบล้อ + รถลากพ่วง</t>
    </r>
  </si>
  <si>
    <r>
      <t xml:space="preserve">ตารางค่าขนส่งค่าวัสดุก่อสร้าง </t>
    </r>
    <r>
      <rPr>
        <sz val="16"/>
        <color rgb="FFFF0000"/>
        <rFont val="AngsanaUPC"/>
        <family val="1"/>
        <charset val="222"/>
      </rPr>
      <t xml:space="preserve"> รถบรรทุกสิบล้อ</t>
    </r>
  </si>
  <si>
    <t xml:space="preserve">   5.2.36 Guard  Rail บริเวณทางโค้งหรือคอสะพาน</t>
  </si>
  <si>
    <t xml:space="preserve">   5.2.37 Guard  Rail บริเวณทางตรง</t>
  </si>
  <si>
    <t>คิดปริมาณปูนซีเมนต์ที่ใช้</t>
  </si>
  <si>
    <t>ความลึกการขุดกัด</t>
  </si>
  <si>
    <t>ความกว้างผิวทาง</t>
  </si>
  <si>
    <t>หน่วยน้ำหนักวัสดุ</t>
  </si>
  <si>
    <t>ดม.</t>
  </si>
  <si>
    <t>ระยะทาง 1  ม.  จะได้ปริมาณปูนที่ใช้ = ความลึกขุดกัด*ความกว้างผิวทาง*ระยะทาง 1 ม.</t>
  </si>
  <si>
    <t>ปริมาณน้ำหนักผิวทางและพื้นทางความยาว 1.00 ม. =</t>
  </si>
  <si>
    <t>ปริมาณปูนซีเมนต์ : ความยาว 1.00 ม.</t>
  </si>
  <si>
    <t>ปริมาณปูนซีเมนต์ที่ออกแบบ</t>
  </si>
  <si>
    <t>ปริมาณปูนซีเมนต์ที่ใช้ต่อตารางเมตร</t>
  </si>
  <si>
    <t>ตัน/ตร.ม.</t>
  </si>
  <si>
    <t>พื้นที่ดำเนินการ</t>
  </si>
  <si>
    <t>ปริมาณปูนซีเมนต์ที่ใช้ทั้งโครงการ</t>
  </si>
  <si>
    <t>รวมค่าขนส่ง</t>
  </si>
  <si>
    <t>ใช้ราคาปูนซีเมนต์ที่ อ.แก่งคอย จ.สระบุรี</t>
  </si>
  <si>
    <t xml:space="preserve"> ค่างาน Pavement In-Place Recycling</t>
  </si>
  <si>
    <t>รวมค่างาน Pavement In-Place Recycling</t>
  </si>
  <si>
    <t>ใช้ราคาปูนซีเมนต์ที่ อ.เมือง ของสถานที่ก่อสร้าง</t>
  </si>
  <si>
    <t xml:space="preserve">  ตัน</t>
  </si>
  <si>
    <t>1.ปูนซีเมนต์ จากโรงงานที่ จ.สระบุรี</t>
  </si>
  <si>
    <t xml:space="preserve">   ค่างาน Pavement In-Place Recycling</t>
  </si>
  <si>
    <t xml:space="preserve">บาท/ตัน  </t>
  </si>
  <si>
    <t>2.ปูนซีเมนต์ จาก อ.เมือง ของสถานที่ก่อสร้าง</t>
  </si>
  <si>
    <t>กว้าง 0.15 ม.</t>
  </si>
  <si>
    <t>ช่วงที่ 5  Pavement In-Place Recycling</t>
  </si>
  <si>
    <t>ช่วงที่ 6  เสริมผิว AC</t>
  </si>
  <si>
    <t>ช่วงที่ 1</t>
  </si>
  <si>
    <t>ช่วงที่ 2</t>
  </si>
  <si>
    <t>แบบมาตรฐานรายละเอียดการแก้ไขผิวทางและพื้นทางเดิม  แบบเลขที่ บร-101/56</t>
  </si>
  <si>
    <t>แบบมาตรฐาน รายการประกอบแบบงานเสริมผิวและซ่อมสร้างผิวแอสฟัลติกคอนกรีต แบบเลขที่ บร-102/56</t>
  </si>
  <si>
    <t>มาตรฐานรูปแบบและรายละเอียดการติดตั้งเครื่องหมายจราจร รูปแบบที่ 2 งานก่อสร้างที่มีการปิดช่องจราจร</t>
  </si>
  <si>
    <t>นายอภิชัย  ไพรินทร์</t>
  </si>
  <si>
    <t xml:space="preserve">         ระยะทาง</t>
  </si>
  <si>
    <t>รูปตัดตามขวางงานซ่อมสร้างผิวทางแอสฟัลติกคอนกรีต  วิธีที่ 1</t>
  </si>
  <si>
    <t>รูปตัดตามขวาง  วิธีที่ 1</t>
  </si>
  <si>
    <t>รวมพื้นที่ซ่อมฯ (5)</t>
  </si>
  <si>
    <t>รวมพื้นที่เสริมผิว (6)</t>
  </si>
  <si>
    <t>เสริมผิว</t>
  </si>
  <si>
    <t xml:space="preserve">  ระยะทาง</t>
  </si>
  <si>
    <t xml:space="preserve">   5. ในกรณีที่ไม่สามารถดำเนินการติดตั้งป้ายจราจรตามช่วงดำเนินการที่ระบุไว้ในแบบได้ ให้ดำเนินการติดตั้งได้ตามสภาพพื้นที่ </t>
  </si>
  <si>
    <t xml:space="preserve">       โดยให้อยู่ในสายทางของโครงการ ทั้งนี้ให้อยู่ในดุลยพินิจของผู้ควบคุมงาน แต่จะต้องได้ปริมาณงานไม่น้อยกว่าที่กำหนดในแบบก่อสร้าง</t>
  </si>
  <si>
    <t>แบบมาตรฐานเครื่องหมายจราจรบนผิวทาง (1/2)  แบบเลขที่ จร-201/56 และ (2/2)  แบบเลขที่ จร-202/56</t>
  </si>
  <si>
    <t>2 แผ่น</t>
  </si>
  <si>
    <t>.</t>
  </si>
  <si>
    <t>วันที่</t>
  </si>
  <si>
    <t>แหล่งวัสดุ</t>
  </si>
  <si>
    <t>การคิดราคายาง กรณี ที่ 1</t>
  </si>
  <si>
    <t>ราคาน้ำมัน ณ อำเภอเมือง ของโครงการก่อสร้าง เฉลีย</t>
  </si>
  <si>
    <t>กรุงเทพฯ</t>
  </si>
  <si>
    <t>ยาง CSS-1 ราคาที่แหล่ง</t>
  </si>
  <si>
    <t>บาท/ตัน ระยะขนส่ง (กม.) =</t>
  </si>
  <si>
    <t>เป็นเงิน(บาท/ตัน) =</t>
  </si>
  <si>
    <t>ค่าวัสดุ+ค่าขนส่ง =</t>
  </si>
  <si>
    <t xml:space="preserve"> =IF(Q$4=1,IF(H20&lt;=200,VLOOKUP(H20,'S2'!B$5:'S2'!F$204,2),IF(H20&gt;200,(H20-200)*'S2'!C$205+'S2'!C$204)),IF(Q$4=2,IF(H20&lt;=200,VLOOKUP(H20,'S2'!B$5:'S2'!F$204,4),IF(H20&gt;200,(H20-200)*'S2'!E$205+'S2'!E$204))))</t>
  </si>
  <si>
    <t>ยาง CSS-1h ราคาที่แหล่ง</t>
  </si>
  <si>
    <t>ยาง CRS-2 ราคาที่แหล่ง</t>
  </si>
  <si>
    <t xml:space="preserve"> =IF(Q$4=1,IF(H25&lt;=200,VLOOKUP(H25,S0!B$5:S0!F$204,2),IF(H25&gt;200,(H25-200)*S0!C$205+S0!C$204)),IF(Q$4=2,IF(H25&lt;=200,VLOOKUP(H25,S0!B$5:S0!F$204,4),IF(H25&gt;200,(H25-200)*S0!E$205+S0!E$204))))</t>
  </si>
  <si>
    <t>ยาง CMS-2h ราคาที่แหล่ง</t>
  </si>
  <si>
    <t>ยาง MC -70 ราคาที่แหล่ง</t>
  </si>
  <si>
    <t xml:space="preserve"> =IF(Q$4=1,IF(H31&lt;=200,VLOOKUP(H31,'S2'!B$5:'S2'!F$204,2),IF(H31&gt;200,(H31-200)*'S2'!C$205+'S2'!C$204)),IF(Q$4=2,IF(H31&lt;=200,VLOOKUP(H31,'S2'!B$5:'S2'!F$204,4),IF(H31&gt;200,(H31-200)*'S2'!E$205+'S2'!E$204))))</t>
  </si>
  <si>
    <t>ยาง AC 60-70 ราคาที่แหล่ง</t>
  </si>
  <si>
    <t>การคิดราคายาง กรณี ที่ 2</t>
  </si>
  <si>
    <t>ราคาน้ำมันที่ กรุงเทพฯ เฉลีย</t>
  </si>
  <si>
    <t>ระยะขนส่ง จาก กรุงเทพ - โรงกลั่น อำเภอศรีราชา จังหวัดชลบุรี (กม.)</t>
  </si>
  <si>
    <t>ราคาที่หักลบค่าขนส่ง 124 กม.</t>
  </si>
  <si>
    <t>จากราคายางที่แหล่งกรุงเทพฯ</t>
  </si>
  <si>
    <t xml:space="preserve">ยาง CSS-1 </t>
  </si>
  <si>
    <t xml:space="preserve">ยาง CSS-1h </t>
  </si>
  <si>
    <t xml:space="preserve">ยาง CRS-2 </t>
  </si>
  <si>
    <t xml:space="preserve">ยาง CMS-2h </t>
  </si>
  <si>
    <t xml:space="preserve">ยาง MC -70 </t>
  </si>
  <si>
    <t xml:space="preserve">ยาง AC 60-70 </t>
  </si>
  <si>
    <t>อ.ศรีราชา จ.ชลบุรี</t>
  </si>
  <si>
    <t>ยาง CSS-1  ราคาที่หักลบ</t>
  </si>
  <si>
    <t>ยาง CSS-1h ราคาที่หักลบ</t>
  </si>
  <si>
    <t>ยาง CRS-2 ราคาที่หักลบ</t>
  </si>
  <si>
    <t>ยาง CMS-2h ราคาที่หักลบ</t>
  </si>
  <si>
    <t>ยาง MC -70 ราคาที่หักลบ</t>
  </si>
  <si>
    <t>ยาง AC 60-70 ราคาที่หักลบ</t>
  </si>
  <si>
    <t>สรุปการเปรียบเทียบ</t>
  </si>
  <si>
    <t>สรุปราคายางที่แหล่ง+ค่าขนส่ง ที่เลือกใช้จากการเปรียบเทียบ</t>
  </si>
  <si>
    <t>แหล่ง</t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</si>
  <si>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6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</si>
  <si>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9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</si>
  <si>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12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</si>
  <si>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15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</si>
  <si>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16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</si>
  <si>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19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</si>
  <si>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20 มม.</t>
    </r>
  </si>
  <si>
    <r>
      <t xml:space="preserve">เหล็กเสริม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25 มม.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</si>
  <si>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0.40 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</si>
  <si>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0.60 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</si>
  <si>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0.80 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</si>
  <si>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1.00 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</si>
  <si>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1.20 ม.</t>
    </r>
  </si>
  <si>
    <r>
      <t xml:space="preserve">ท่อ คสล.  </t>
    </r>
    <r>
      <rPr>
        <sz val="11"/>
        <color indexed="60"/>
        <rFont val="Calibri"/>
        <family val="2"/>
      </rPr>
      <t>φ</t>
    </r>
    <r>
      <rPr>
        <sz val="11"/>
        <color indexed="60"/>
        <rFont val="TH SarabunPSK"/>
        <family val="2"/>
      </rPr>
      <t xml:space="preserve">  1.50 ม.</t>
    </r>
  </si>
  <si>
    <t>1. งานกรุยทาง</t>
  </si>
  <si>
    <t>ค่าดำเนินการและค่าเสื่อมราคา</t>
  </si>
  <si>
    <t>ค่างาน ตร.ม. ละ</t>
  </si>
  <si>
    <t>2. งานปรับเกลี่ยแต่งและบดอัดคันทางเดิม</t>
  </si>
  <si>
    <t>... ค่าดำเนินการและค่าเสื่อมราคา</t>
  </si>
  <si>
    <t>3. งาน Benching</t>
  </si>
  <si>
    <t>ค่าดำเนินการและค่าเสื่อมราคา (งานตกแต่งขั้นบันได)</t>
  </si>
  <si>
    <t>ค่างาน ลบ.ม. ละ</t>
  </si>
  <si>
    <t>ค่าดำเนินการและค่าเสื่อมราคางานบดทับ</t>
  </si>
  <si>
    <t>... รวมค่างานต้นทุน Benching</t>
  </si>
  <si>
    <t>4. งานดินตัด</t>
  </si>
  <si>
    <t xml:space="preserve"> 4.1 งานดินตัด</t>
  </si>
  <si>
    <t>ค่าดำเนินการและค่าเสื่อมราคา (ตัก)</t>
  </si>
  <si>
    <t>ค่าขนส่งวัสดุไปทิ้ง  ระยะทางขนส่ง</t>
  </si>
  <si>
    <t>... รวมค่าวัสดุที่หน้างาน</t>
  </si>
  <si>
    <t>... รวมค่างานต้นทุน (..1+2) x 1.25</t>
  </si>
  <si>
    <t>ค่าดำเนินการและค่าเสื่อมราคา (ขุดตัด)</t>
  </si>
  <si>
    <t xml:space="preserve">... รวมค่างานต้นทุน </t>
  </si>
  <si>
    <t>4.2 งานตัดหินผุ</t>
  </si>
  <si>
    <t>ค่าขนส่งวัสดุ ระยะทางขนส่ง</t>
  </si>
  <si>
    <t>... รวมค่างานต้นทุน (..1+2) x 1.60</t>
  </si>
  <si>
    <t>4.3 งานตัดหินแข็ง</t>
  </si>
  <si>
    <t>... รวมค่างานต้นทุน (…...) x 1.70</t>
  </si>
  <si>
    <t>5. งานดินถมและทรายถม</t>
  </si>
  <si>
    <t xml:space="preserve"> 5.1 งานทรายถม (Sand Embankment)</t>
  </si>
  <si>
    <t>ค่าวัสดุที่แหล่ง</t>
  </si>
  <si>
    <t>ค่าดำเนินการและค่าเสื่อมราคางานขุด-ขน</t>
  </si>
  <si>
    <t>ค่าขนส่งวัสดุจากแหล่งถึงหน้างาน</t>
  </si>
  <si>
    <t>อัตราส่วนการยุบตัวเมื่อบดทับ  (......) x 1.2</t>
  </si>
  <si>
    <t>ค่าดำเนินการและค่าเสื่อมราคาเมื่อบดทับ</t>
  </si>
  <si>
    <t>... รวมค่างานต้นทุน</t>
  </si>
  <si>
    <t xml:space="preserve"> 5.2 งานดินถม(จากการขนส่ง)</t>
  </si>
  <si>
    <t>อัตราส่วนการยุบตัวเมื่อบดทับ  (......) x 1.6</t>
  </si>
  <si>
    <t>5.3 งานดินถม (จากงานดินตัด)</t>
  </si>
  <si>
    <t>(ขนส่งมาจากงานดินตัด)</t>
  </si>
  <si>
    <t>… รวมค่างานต้นทุน</t>
  </si>
  <si>
    <t>6. งานวัสดุคัดเลือก</t>
  </si>
  <si>
    <t>(หลวม)</t>
  </si>
  <si>
    <t>อัตราส่วนการยุบตัวเมื่อบดทับ  (…...) x 1.6</t>
  </si>
  <si>
    <t>(แน่น)</t>
  </si>
  <si>
    <t>7. งานรองพื้นทางลูกรัง</t>
  </si>
  <si>
    <t>7.1 งานรองพื้นทางลูกรัง</t>
  </si>
  <si>
    <t>อัตราส่วนการยุบตัวเมื่อบดทับ (... x 1.6)</t>
  </si>
  <si>
    <t>... รวมค่างานต้นทุนพื้นทาง</t>
  </si>
  <si>
    <t>... รวมค่างานต้นทุนไหล่ทาง</t>
  </si>
  <si>
    <t>7.2 งานรองพื้นทางลูกรัง (กรณีมีการผสมกับวัสดุทราย)</t>
  </si>
  <si>
    <t>7.2.1 วัสดุลูกรัง</t>
  </si>
  <si>
    <t>ค่าวัสดุที่แหล่ง (ลูกรัง)</t>
  </si>
  <si>
    <t>อัตราส่วนผสมที่ใช้..........................</t>
  </si>
  <si>
    <t>เปอร์เซ็นต์</t>
  </si>
  <si>
    <t>อัตราส่วนผสมที่ใช้</t>
  </si>
  <si>
    <t>7.2.2 วัสดุทราย</t>
  </si>
  <si>
    <t>ค่าวัสดุที่แหล่ง (ทราย)</t>
  </si>
  <si>
    <t>อัตราส่วนการยุบตัวเมื่อบดทับ (... x 1.4)</t>
  </si>
  <si>
    <t>... รวมค่างานต้นทุน…1+2</t>
  </si>
  <si>
    <t>ค่าดำเนินการและค่าเสื่อมราคา (ผสมวัสดุ)</t>
  </si>
  <si>
    <t>ค่าดำเนินการและค่าเสื่อมราคา (บดทับ)</t>
  </si>
  <si>
    <t>ค่าดำเนินการและค่าเสื่อมราคา (บ่มวัสดุ)</t>
  </si>
  <si>
    <t>... รวมค่างานต้นทุน…</t>
  </si>
  <si>
    <t>7.3 งานรองพื้นทางลูกรัง (กรณีมีการผสมกับวัสดุซีเมนต์)</t>
  </si>
  <si>
    <t>หน่วยน้ำหนักของวัสดุ</t>
  </si>
  <si>
    <t>เปอร์เซ็นต์ปูนซีเมนต์</t>
  </si>
  <si>
    <t>ปูนซีเมนต์</t>
  </si>
  <si>
    <t>ค่าปูนซีเมนต์</t>
  </si>
  <si>
    <t xml:space="preserve"> - ค่าติดตั้งเครื่องผสมและค่าขนย้ายอุปกรณ์</t>
  </si>
  <si>
    <t>8. งานชั้นพื้นทางหินคลุก</t>
  </si>
  <si>
    <t>8.1 งานชั้นพื้นทางหินคลุก</t>
  </si>
  <si>
    <t>ค่าวัสดุที่แหล่งปากโม่ (รวมค่าตัก)</t>
  </si>
  <si>
    <t>อัตราส่วนการยุบตัวเมื่อบดทับ (…...) x 1.5</t>
  </si>
  <si>
    <t xml:space="preserve">ค่าดำเนินการและค่าเสื่อมราคา (BLEND) </t>
  </si>
  <si>
    <t xml:space="preserve">ค่าดำเนินการและค่าเสื่อมราคา (บดทับ) </t>
  </si>
  <si>
    <t>8.2 งานพื้นทางลูกรัง (กรณีมีการผสมกับวัสดุซีเมนต์)</t>
  </si>
  <si>
    <t>8.3 งานพื้นทางลูกรัง</t>
  </si>
  <si>
    <t>F  =  Traffic  Factor  สำหรับงานบำรุงทาง</t>
  </si>
  <si>
    <t>Y = ค่ายางแอสฟัลท์ CRS-2   ที่โรงงานรวมค่าขนส่ง</t>
  </si>
  <si>
    <t>ตันละ</t>
  </si>
  <si>
    <t>(Y)</t>
  </si>
  <si>
    <t>Y1 = ค่ายางแอสฟัลท์ CSS-1   ที่โรงงานรวมค่าขนส่ง</t>
  </si>
  <si>
    <t>(Y1)</t>
  </si>
  <si>
    <t>Y2 = ค่ายางแอสฟัลท์ CSS-1h ที่โรงงานรวมค่าขนส่ง</t>
  </si>
  <si>
    <t>(Y2)</t>
  </si>
  <si>
    <t>Y3 = ค่ายางแอสฟัลท์ AC 60-70   ที่โรงงานรวมค่าขนส่ง</t>
  </si>
  <si>
    <t>(Y3)</t>
  </si>
  <si>
    <t>H = ค่ายางแอสฟัลท์ Cms-2h   ที่โรงงานรวมค่าขนส่ง</t>
  </si>
  <si>
    <t>(H)</t>
  </si>
  <si>
    <t>ค่ายางแอสฟัลท์ MC-70   ที่โรงงานรวมค่าขนส่ง</t>
  </si>
  <si>
    <t>G</t>
  </si>
  <si>
    <t>X = ราคาหิน 1/2 " ที่ปากโม่รวมค่าขนส่ง</t>
  </si>
  <si>
    <t>ลบ.ม. ละ</t>
  </si>
  <si>
    <t>(X)</t>
  </si>
  <si>
    <t>งาน Cold  Mix ( Wearing  Course )</t>
  </si>
  <si>
    <t>X1 = ราคาหินฝุ่น ที่ปากโม่รวมค่าขนส่ง</t>
  </si>
  <si>
    <t>(X1)</t>
  </si>
  <si>
    <t>A1</t>
  </si>
  <si>
    <t>ฝนชุก</t>
  </si>
  <si>
    <t>X2 = ราคาหิน 3/8 " ที่ปากโม่รวมค่าขนส่ง</t>
  </si>
  <si>
    <t>(X2)</t>
  </si>
  <si>
    <t>X3 = ราคาหินผสมแอสฟัล ที่ปากโม่รวมค่าขนส่ง</t>
  </si>
  <si>
    <t>(X3)</t>
  </si>
  <si>
    <t>D = ค่าขนส่งวัสดุผสมระหว่างทำการฉาบผิว / เสริมผิว  คิดเป็นระยะทาง  1  ใน  4</t>
  </si>
  <si>
    <t>บาท / ลบ.ม.</t>
  </si>
  <si>
    <t>(D)</t>
  </si>
  <si>
    <t xml:space="preserve">9. งานลาดยาง </t>
  </si>
  <si>
    <t>9.1 งาน PRIME COAT บนพื้นทางหินคลุก</t>
  </si>
  <si>
    <t xml:space="preserve">ค่ายาง CSS-1  (0.8 x Y1 /1000) </t>
  </si>
  <si>
    <t>9.2 งาน PRIME COAT บนพื้นทางผสมวัสดุซีเมนต์</t>
  </si>
  <si>
    <t>D</t>
  </si>
  <si>
    <t>=#REF!$I$204</t>
  </si>
  <si>
    <t xml:space="preserve">ค่ายาง MC-70 (0.8 x G/1000) </t>
  </si>
  <si>
    <t>Data</t>
  </si>
  <si>
    <t>=#REF!#REF!</t>
  </si>
  <si>
    <t>='FACTOR F'!$B$10:$V$45</t>
  </si>
  <si>
    <t>l</t>
  </si>
  <si>
    <t>=#REF!$I$202</t>
  </si>
  <si>
    <t>9.3 งาน TACK COAT</t>
  </si>
  <si>
    <t>oil</t>
  </si>
  <si>
    <t>=Oil!$B$5:$G$1006</t>
  </si>
  <si>
    <t xml:space="preserve">ค่ายาง CRS-2 (0.3 x Y /1000) </t>
  </si>
  <si>
    <t>P</t>
  </si>
  <si>
    <t>=#REF!$I$205</t>
  </si>
  <si>
    <t>ค2</t>
  </si>
  <si>
    <t>=#REF!$H$156</t>
  </si>
  <si>
    <t>10. งานผิวทาง</t>
  </si>
  <si>
    <t>10.1 งานลาดยางแบบ CAPE SEAL</t>
  </si>
  <si>
    <t>พื้นที่</t>
  </si>
  <si>
    <t>A (sst.)</t>
  </si>
  <si>
    <t>B (Fog)</t>
  </si>
  <si>
    <t>C (Slurry)</t>
  </si>
  <si>
    <t xml:space="preserve">ระยะทางที่ปูผิวทาง </t>
  </si>
  <si>
    <t>(L)</t>
  </si>
  <si>
    <t>ระยะทางขนส่งใช้ L/4</t>
  </si>
  <si>
    <t>ค่าขนหินส่งทำ CHIP SEAL (D)</t>
  </si>
  <si>
    <t xml:space="preserve">ค่าขนส่งวัสดุผสม SLURRY SEAL (P) </t>
  </si>
  <si>
    <t xml:space="preserve">ค่างานต้นทุน CHIP SEAL </t>
  </si>
  <si>
    <t>ค่าหิน+ค่ายาง+ค่าขนส่ง</t>
  </si>
  <si>
    <t>ค่าวัสดุ=0.01286X+0.00123Y+0.01222D</t>
  </si>
  <si>
    <t>ค่างานต้นทุน CHIP SEAL = ค่าดำเนินการและค่าเสื่อมราคา+ค่าหิน+ค่ายาง+ค่าขนส่ง</t>
  </si>
  <si>
    <t xml:space="preserve">ค่างานต้นทุน FOG SPRAY </t>
  </si>
  <si>
    <t>ค่ายาง+ค่าขนส่ง</t>
  </si>
  <si>
    <t xml:space="preserve"> ค่าวัสดุ=0.00031Y1</t>
  </si>
  <si>
    <t>ค่างานต้นทุน FOG SPRAY = ค่าดำเนินการและค่าเสื่อมราคา+ค่ายาง</t>
  </si>
  <si>
    <t xml:space="preserve">ค่างานต้นทุน SLURRY SEAL </t>
  </si>
  <si>
    <t>ค่าวัสดุ = (527.70+1.21550X1+0.25779Y2+1.85P)*1/185</t>
  </si>
  <si>
    <t>ค่างานต้นทุน SLURRY SEAL = ค่าดำเนินการและค่าเสื่อมราคา+ค่าหิน+ค่ายาง+ค่าขนส่ง</t>
  </si>
  <si>
    <t>... ค่างานต้นทุน CAPE SEAL</t>
  </si>
  <si>
    <t>11. งานไหล่ทาง</t>
  </si>
  <si>
    <t>11.1 ใช้อัตราเดียวกับงานผิวจราจร</t>
  </si>
  <si>
    <t>12.  งานผิวทางแอสฟัลท์ติกคอนกรีต ปริมาณมากกว่า  10,000 ตัน ( Plant ถาวร )</t>
  </si>
  <si>
    <r>
      <t xml:space="preserve"> - Asphaltic  Concrete =f</t>
    </r>
    <r>
      <rPr>
        <vertAlign val="subscript"/>
        <sz val="12"/>
        <rFont val="TH SarabunPSK"/>
        <family val="2"/>
      </rPr>
      <t>1</t>
    </r>
    <r>
      <rPr>
        <sz val="12"/>
        <rFont val="TH SarabunPSK"/>
        <family val="2"/>
      </rPr>
      <t>(0.0538Y3 + 0.7445X3 + ค่าเสื่อมราคา)</t>
    </r>
  </si>
  <si>
    <t xml:space="preserve">   (หินผสม + ค่าขนส่ง) x 0.7445</t>
  </si>
  <si>
    <t xml:space="preserve"> - ค่าดำเนินการ + ค่าผสมแอสฟัลติกคอนกรีต</t>
  </si>
  <si>
    <t xml:space="preserve"> ค่าวัสดุ (Asphaltic Concrete)</t>
  </si>
  <si>
    <t xml:space="preserve"> ค่าขนส่ง</t>
  </si>
  <si>
    <t>รวมค่าวัสดุ+ค่าขนส่ง</t>
  </si>
  <si>
    <t>ความหนา</t>
  </si>
  <si>
    <t>บาท / ตร.ม.</t>
  </si>
  <si>
    <t>13.  งานผิวทางแอสฟัลติคคอนกรีต ปริมาณน้อยกว่า  10,000 ตัน ( Plant Mobile )</t>
  </si>
  <si>
    <t xml:space="preserve"> - ปริมาณแอสฟัลทั้งโครงการ</t>
  </si>
  <si>
    <t xml:space="preserve"> - ค่าขนส่งอุปกรณ์ 80 ตัน ระยะทางขนส่ง 100-300 กม.  (คิด 200 กม.)   =</t>
  </si>
  <si>
    <t>สิบล้อ+ลากพ่วง</t>
  </si>
  <si>
    <t>( ค่าขนส่งโดยรถสิบล้อ+ลากพ่วง 200 ก.ม.+ค่าขึ้นลงอุปกรณ์ 80 บาท/ตัน)</t>
  </si>
  <si>
    <t>บาท/โครงการ</t>
  </si>
  <si>
    <t xml:space="preserve"> - ค่าติดตั้งเครื่องผสม,ค่าขออนุญาตเชื่อมไฟฟ้า,หม้อแปลง</t>
  </si>
  <si>
    <t xml:space="preserve"> - ค่าติดตั้งเครื่องผสมและค่าขนย้ายอุปกรณ์ (คิดที่ปริมาณ AC สูงสุด 10,000 ตัน)</t>
  </si>
  <si>
    <t xml:space="preserve"> 3=(1/0)+(2/10000)</t>
  </si>
  <si>
    <t>ค่าวัสดุต่อตัน</t>
  </si>
  <si>
    <t xml:space="preserve">   (หินผสม + ค่าขนส่ง) x 0.74 </t>
  </si>
  <si>
    <t>ตัวแปรค่าดำเนินการปูลาดและบดทับตามความหนา</t>
  </si>
  <si>
    <t>ตัวแปร</t>
  </si>
  <si>
    <t>ฝนตก</t>
  </si>
  <si>
    <t>แทคโค้ท</t>
  </si>
  <si>
    <t xml:space="preserve"> - ค่าขนส่งแอสฟัลติกคอนกรีตในสายทาง </t>
  </si>
  <si>
    <t xml:space="preserve">   รวมค่าวัสดุและค่าผสม       </t>
  </si>
  <si>
    <t>8=4+5+6+7</t>
  </si>
  <si>
    <t xml:space="preserve">  รวมค่างาน HOT MIX </t>
  </si>
  <si>
    <t>9=8+3</t>
  </si>
  <si>
    <t xml:space="preserve">  ความหนา</t>
  </si>
  <si>
    <t>ซม. ปูได้    (</t>
  </si>
  <si>
    <t xml:space="preserve"> -  ค่าดำเนินการและค่าเสื่อมราคาค่าปูลาดและบดทับ (บน Prime Coat)</t>
  </si>
  <si>
    <t xml:space="preserve"> -  ค่าดำเนินการและค่าเสื่อมราคาค่าปูลาดและบดทับ (บน Tack Coat)</t>
  </si>
  <si>
    <t>ราคาแอสฟัลติกคอนกรีตปูลาดและบดทับ (บน Prime Coat)</t>
  </si>
  <si>
    <t xml:space="preserve"> =ROUND(((I174*1.4)+((กรอกราคาวัสดุ!D23+กรอกราคาวัสดุ!J23)*6.15)+((กรอกราคาวัสดุ!D17+กรอกราคาวัสดุ!J17)*0.077))/1000,2)</t>
  </si>
  <si>
    <t>ราคาแอสฟัลติกคอนกรีตปูลาดและบดทับ (บน Tack Coat)</t>
  </si>
  <si>
    <t>14. งาน  Pavement In-Place Recycling</t>
  </si>
  <si>
    <t>14.1 สูตรค่างาน  Pavement In-Place Recycling</t>
  </si>
  <si>
    <t>N = F1 ( ค่าเสื่อมราคา + AY + SC )</t>
  </si>
  <si>
    <t>N = ค่างาน  Pavement In-Place Recycling</t>
  </si>
  <si>
    <t>F1 = Traffic Factor</t>
  </si>
  <si>
    <t>A = ปริมาณยางแอสฟัล</t>
  </si>
  <si>
    <t>Y = ราคายางแอสฟัลบวกค่าขนส่ง</t>
  </si>
  <si>
    <t>S = ปริมาณปูนซีเมนต์</t>
  </si>
  <si>
    <t>C = ราคาปูนซีเมนต์บวกค่าขนส่ง</t>
  </si>
  <si>
    <t>14.2  ข้อมูลประกอบการคิดงาน</t>
  </si>
  <si>
    <t>ความลึกในการขุดกัด</t>
  </si>
  <si>
    <t>งาน Pavement In Place Recycling</t>
  </si>
  <si>
    <t>ปริมาณปูนซีเมนต์ที่ใช้ (โดยน้ำหนัก)%</t>
  </si>
  <si>
    <t>หน่วยน้ำหนักของวัสดุพื้นทางที่ขุดกัด</t>
  </si>
  <si>
    <t>ปริมาณปูนซีเมนต์ที่ใช้ (โดยน้ำหนัก)</t>
  </si>
  <si>
    <t>หนา</t>
  </si>
  <si>
    <t>ขุดลึกเฉลี่ย 15 ซม.</t>
  </si>
  <si>
    <t xml:space="preserve"> - ค่าปูนซีเมนต์ + ค่าขนส่ง</t>
  </si>
  <si>
    <t>ขุดลึกเฉลี่ย 20 ซม.</t>
  </si>
  <si>
    <t xml:space="preserve"> - ปริมาณปูนซีเมนต์ต่อตารางเมตร</t>
  </si>
  <si>
    <t>ขุดลึกเฉลี่ย 25 ซม.</t>
  </si>
  <si>
    <t xml:space="preserve"> -  ค่าดำเนินการและค่าเสื่อมราคาค่าขุด</t>
  </si>
  <si>
    <t>รวมค่างาน  Pavement In-Place Recycling</t>
  </si>
  <si>
    <t>15. งานขุดซ่อมผิวทางเดิม  (Deep  Patch)</t>
  </si>
  <si>
    <t>ค่าดำเนินการและค่าเสื่อมราคางานขุดรื้อพื้นทางเดิมแล้วบดทับ</t>
  </si>
  <si>
    <t>ผิวทาง  (ขนทิ้ง)</t>
  </si>
  <si>
    <t>หินคลุก</t>
  </si>
  <si>
    <t>ม.)</t>
  </si>
  <si>
    <t>ความหนาหินคลุก(เมตร)</t>
  </si>
  <si>
    <t xml:space="preserve"> -  ค่าวัสดุหินคลุก</t>
  </si>
  <si>
    <t xml:space="preserve"> -  ค่าวัสดุ  Prime  Coat</t>
  </si>
  <si>
    <t xml:space="preserve"> -  ค่าดำเนินการและค่าเสื่อมราคาผสม (หินคลุก)</t>
  </si>
  <si>
    <t xml:space="preserve"> -  ค่าดำเนินการและค่าเสื่อมราคาบดทับ  (หินคลุก)</t>
  </si>
  <si>
    <t xml:space="preserve"> -  ค่าดำเนินการและค่าเสื่อมราคาลาดยาง  Prime  Coat  </t>
  </si>
  <si>
    <t>รวมราคาค่าเสื่อมราคา</t>
  </si>
  <si>
    <t>รวมค่าวัสดุและค่าแรงงานที่ใช้ในการแก้ Soft</t>
  </si>
  <si>
    <t>16. งานปะซ่อมผิวทางเดิม  (Skin  Patch)</t>
  </si>
  <si>
    <t xml:space="preserve"> - Tack  Coat</t>
  </si>
  <si>
    <t xml:space="preserve"> - Cold  Mix</t>
  </si>
  <si>
    <t xml:space="preserve"> = F [ A1 + 0.73857X2 + 0.02183X1 + 0.06150+D ]</t>
  </si>
  <si>
    <t xml:space="preserve"> ซม. (</t>
  </si>
  <si>
    <t>ความหนา cold mix</t>
  </si>
  <si>
    <t>รวมค่าวัสดุ</t>
  </si>
  <si>
    <t>ค่าดำเนินการและค่าเสื่อมราคางาน  Tack  Coat  ปูลาดและบดทับ</t>
  </si>
  <si>
    <t>รวมค่าวัสดุและค่าแรงเป็นเงิน</t>
  </si>
  <si>
    <t>17. งานคอนกรีตเสริมเหล็ก</t>
  </si>
  <si>
    <t>ค่าทรายถมที่ ที่แหล่งรวมค่าขนส่ง</t>
  </si>
  <si>
    <t>ค่าทรายหยาบที่แหล่งรวมค่าขนส่ง</t>
  </si>
  <si>
    <t>ค่าหินย่อย ที่ปากโม่รวมค่าขนส่ง</t>
  </si>
  <si>
    <t>ค่าปูนซิเมนต์รวมค่าขนส่งถึงหน้างาน</t>
  </si>
  <si>
    <t>... ต้นทุนปูนทรายผสมยาแนวท่อ( 1:3 ซิเมนต์ 420 กก. ทราย 1.44 ลบ.ม.)</t>
  </si>
  <si>
    <t xml:space="preserve"> 1:3</t>
  </si>
  <si>
    <t>... ต้นทุนคอนกรีตหยาบ (1:3:5 ซิเมนต์ 252 กก. ทราย 0.624 ลบ.ม. หิน 1.0005 ลบ.ม.)</t>
  </si>
  <si>
    <t xml:space="preserve"> 1:3:5</t>
  </si>
  <si>
    <t>lean</t>
  </si>
  <si>
    <t xml:space="preserve"> - ค่างานต้นทุนคอนกรีต ค1 ( ปูนซีเมนต์ 304.5 กก. ทราย 0.744 ลบ. ม. หิน 0.83375  ลบ. ม. )</t>
  </si>
  <si>
    <t>ค1 (180 ksc cube)</t>
  </si>
  <si>
    <t xml:space="preserve"> - ค่างานต้นทุนคอนกรีต ค2 ( ปูนซีเมนต์ 336 กก. ทราย 0.7152 ลบ. ม. หิน 0.8786  ลบ. ม. )</t>
  </si>
  <si>
    <t>ค2 (240 ksc cube)</t>
  </si>
  <si>
    <t xml:space="preserve"> - ค่างานต้นทุนคอนกรีต ค3 ( ปูนซีเมนต์ 367.5 กก. ทราย 0.6864 ลบ. ม. หิน 0.8464 ลบ. ม. )</t>
  </si>
  <si>
    <t>ค3 (300 ksc cube)</t>
  </si>
  <si>
    <t xml:space="preserve"> - ค่างานต้นทุนคอนกรีต ค4 ( ปูนซีเมนต์ 420 กก. ทราย 0.6288 ลบ. ม. หิน 0.8372 ลบ. ม. )</t>
  </si>
  <si>
    <t>ค4 (420 ksc cube)</t>
  </si>
  <si>
    <t xml:space="preserve"> - ค่างานต้นทุนคอนกรีต ( ปูนซีเมนต์ 336 กก. ทราย 0.516 ลบ. ม. หิน .989  ลบ. ม. )</t>
  </si>
  <si>
    <t xml:space="preserve"> 1:2:4 ,Class C</t>
  </si>
  <si>
    <t xml:space="preserve"> - ค่างานแบบข้างคิดตามยาว 2 ข้าง</t>
  </si>
  <si>
    <t xml:space="preserve"> บาท/ม.</t>
  </si>
  <si>
    <t xml:space="preserve"> - ค่างาน  METAL  CAP</t>
  </si>
  <si>
    <t xml:space="preserve"> บาท/ชุด</t>
  </si>
  <si>
    <t xml:space="preserve"> - ค่างาน JOINT  FILTER</t>
  </si>
  <si>
    <t xml:space="preserve"> - ค่างาน PAINTED  &amp;  GREASED</t>
  </si>
  <si>
    <t>ค่าแรงงานผสมปูน+เท</t>
  </si>
  <si>
    <t>ค่าแรงงานผสมปูน+เท(หยาบ)</t>
  </si>
  <si>
    <t>ค่าแรงงานทรายถมปรับระดับ</t>
  </si>
  <si>
    <t>ค่าแรงงานผูกเหล็ก</t>
  </si>
  <si>
    <t>บาท/ต้น</t>
  </si>
  <si>
    <t>ค่าแรงงานเหล็กไวเมทน์</t>
  </si>
  <si>
    <t>ค่าแรงงานตีไม้แบบ</t>
  </si>
  <si>
    <t>ค่าแรงงานตัดและหยอดยางรอยต่อคอนกรีต</t>
  </si>
  <si>
    <t>ค่าแรงงานค่าบ่มผิวทางคอนกรีต</t>
  </si>
  <si>
    <t>ค่าเหล็กเสริมไวเมทน์ รวมค่าขนส่ง</t>
  </si>
  <si>
    <t>ค่าเหล็กเสริม   f  6  มม. รวมค่าขนส่ง</t>
  </si>
  <si>
    <t>ค่าเหล็กเสริม   f  9  มม. รวมค่าขนส่ง</t>
  </si>
  <si>
    <t>ค่าเหล็กเสริม   f  12  มม. รวมค่าขนส่ง</t>
  </si>
  <si>
    <t>ค่าเหล็กเสริม   f  15  มม. รวมค่าขนส่ง</t>
  </si>
  <si>
    <t>ค่าเหล็กเสริม   f  16  มม. รวมค่าขนส่ง</t>
  </si>
  <si>
    <t>ค่าเหล็กเสริม   f  19  มม. รวมค่าขนส่ง</t>
  </si>
  <si>
    <t>ค่าเหล็กเสริม   f  20  มม. รวมค่าขนส่ง</t>
  </si>
  <si>
    <t>ค่าเหล็กเสริม   f  25  มม. รวมค่าขนส่ง</t>
  </si>
  <si>
    <t xml:space="preserve">18. งานวางท่อ คสล. </t>
  </si>
  <si>
    <t>18.1  ท่อ คสล. ขนาด f 0.40 ม. x 1.00 ม.</t>
  </si>
  <si>
    <t xml:space="preserve"> - ค่าขุดดิน</t>
  </si>
  <si>
    <t>บาท/ท่อน</t>
  </si>
  <si>
    <t xml:space="preserve"> - ค่าท่อ คสล. </t>
  </si>
  <si>
    <t xml:space="preserve"> - ค่าขนส่งถึงหน้างาน</t>
  </si>
  <si>
    <t xml:space="preserve"> - ค่าวางและกลบกลับ</t>
  </si>
  <si>
    <t xml:space="preserve"> - ค่าคอนกรีตหยาบ</t>
  </si>
  <si>
    <t>ราคาต่อเมตร</t>
  </si>
  <si>
    <t>... ค่างานต้นทุนวางท่อ f 0.40 ม. ต่อ 1 เมตร</t>
  </si>
  <si>
    <t>18.2  ท่อ คสล. ขนาด f 0.60 ม. x 1.00 ม.</t>
  </si>
  <si>
    <t>... ค่างานต้นทุนวางท่อ f 0.60 ม. ต่อ 1 เมตร</t>
  </si>
  <si>
    <t>18.3  ท่อ คสล. ขนาด f 0.80 ม. x 1.00 ม.</t>
  </si>
  <si>
    <t>... ค่างานต้นทุนวางท่อ f 0.80 ม. ต่อ 1 เมตร</t>
  </si>
  <si>
    <t>18.4  ท่อ คสล. ขนาด f 1.00 ม. x 1.00 ม.</t>
  </si>
  <si>
    <t>... ค่างานต้นทุนวางท่อ f 1.00 ม. ต่อ 1 เมตร</t>
  </si>
  <si>
    <t>18.4  ท่อ คสล. ขนาด f 1.20 ม. x 1.00 ม.</t>
  </si>
  <si>
    <t>... ค่างานต้นทุนวางท่อ f 1.20 ม. ต่อ 1 เมตร</t>
  </si>
  <si>
    <t>18.5  ท่อ คสล. ขนาด f 1.50 ม. x 1.00 ม.</t>
  </si>
  <si>
    <t>... ค่างานต้นทุนวางท่อ f 1.50 ม. ต่อ 1 เมตร</t>
  </si>
  <si>
    <t>19  งานกำแพงปากท่อ</t>
  </si>
  <si>
    <t xml:space="preserve">19.1  กำแพงปากท่อ ขนาด 1- f 0.60 </t>
  </si>
  <si>
    <t>คอนกรีต</t>
  </si>
  <si>
    <t>เหล็ก</t>
  </si>
  <si>
    <t>ลวดผูกเหล็ก</t>
  </si>
  <si>
    <t>กก.</t>
  </si>
  <si>
    <t>แบบ</t>
  </si>
  <si>
    <t>ค่าแรงงาน</t>
  </si>
  <si>
    <t>รวมค่างาน</t>
  </si>
  <si>
    <t xml:space="preserve">... ค่างานต้นทุน กำแพงปากท่อ ขนาด 1- f 0.60 </t>
  </si>
  <si>
    <t xml:space="preserve">... ค่างานต้นทุน กำแพงปากท่อ ขนาด 2- f 0.60 </t>
  </si>
  <si>
    <t xml:space="preserve">... ค่างานต้นทุน กำแพงปากท่อ ขนาด 3- f 0.60 </t>
  </si>
  <si>
    <t xml:space="preserve">19.2  กำแพงปากท่อ ขนาด 1- f 0.80 </t>
  </si>
  <si>
    <t xml:space="preserve">... ค่างานต้นทุน กำแพงปากท่อ ขนาด 1- f 0.80 </t>
  </si>
  <si>
    <t xml:space="preserve">... ค่างานต้นทุน กำแพงปากท่อ ขนาด 2- f 0.80 </t>
  </si>
  <si>
    <t xml:space="preserve">... ค่างานต้นทุน กำแพงปากท่อ ขนาด 3- f 0.80 </t>
  </si>
  <si>
    <t xml:space="preserve">19.3  กำแพงปากท่อ ขนาด 1- f 1.00 </t>
  </si>
  <si>
    <t xml:space="preserve">... ค่างานต้นทุน กำแพงปากท่อ ขนาด 1- f 1.00 </t>
  </si>
  <si>
    <t xml:space="preserve">... ค่างานต้นทุน กำแพงปากท่อ ขนาด 2- f 1.00 </t>
  </si>
  <si>
    <t xml:space="preserve">... ค่างานต้นทุน กำแพงปากท่อ ขนาด 3- f 1.00 </t>
  </si>
  <si>
    <t xml:space="preserve">19.4  กำแพงปากท่อ ขนาด 1- f 1.20 </t>
  </si>
  <si>
    <t xml:space="preserve">... ค่างานต้นทุน กำแพงปากท่อ ขนาด 1- f 1.20 </t>
  </si>
  <si>
    <t xml:space="preserve">... ค่างานต้นทุน กำแพงปากท่อ ขนาด 2- f 1.20 </t>
  </si>
  <si>
    <t xml:space="preserve">... ค่างานต้นทุน กำแพงปากท่อ ขนาด 3- f 1.20 </t>
  </si>
  <si>
    <t xml:space="preserve">19.5  กำแพงปากท่อ ขนาด 1- f 1.50 </t>
  </si>
  <si>
    <t xml:space="preserve">... ค่างานต้นทุน กำแพงปากท่อ ขนาด 1- f 1.50 </t>
  </si>
  <si>
    <t xml:space="preserve">... ค่างานต้นทุน กำแพงปากท่อ ขนาด 2- f 1.50 </t>
  </si>
  <si>
    <t xml:space="preserve">... ค่างานต้นทุน กำแพงปากท่อ ขนาด 3- f 1.50 </t>
  </si>
  <si>
    <t>1.3 งานเกลี่ยปรับไหล่ทางเดิมแล้วบดทับ ( ไหล่ลูกรัง )</t>
  </si>
  <si>
    <t>1.5 งาน Benching</t>
  </si>
  <si>
    <t>1.7 งานดินถม ( จากการขนส่ง )</t>
  </si>
  <si>
    <t>1.8 งานวัสดุคัดเลือกบดอัดแน่น</t>
  </si>
  <si>
    <t>1.9 งานรองพื้นทาง (ลูกรังบดอัดแน่น)</t>
  </si>
  <si>
    <t xml:space="preserve">1.12 Skin   Patch </t>
  </si>
  <si>
    <t>1.13 Deep  Patch</t>
  </si>
  <si>
    <t>1.14 งาน Pavement In - Place Recycling</t>
  </si>
  <si>
    <t>ช่วงที่ 1  ขยายไหล่ทางข้างละ 1.00 ม.</t>
  </si>
  <si>
    <t>1.10 งานหินคลุกบดอัดแน่น (ไหล่ทาง)</t>
  </si>
  <si>
    <t>ช่วงที่ 2  ขยายไหล่ทางข้างละ 1.00 ม.</t>
  </si>
  <si>
    <t>โครงการอำนวยความปลอดภัย</t>
  </si>
  <si>
    <t>ชื่อสายทาง : กส.2008   แยกทางหลวงหมายเลข 12 - บ้านโพนนาดี</t>
  </si>
  <si>
    <t>กม.  ผิวจราจรกว้าง  6.00 ม.   ไม่มีไหล่ทาง (ขยายไหล่ข้างละ 1.00 ม.)</t>
  </si>
  <si>
    <t>แบบเลขที่ สบณ. 57 - 09</t>
  </si>
  <si>
    <t>รหัสสายทาง : กส. 2008</t>
  </si>
  <si>
    <t>ชื่อสายทาง : แยกทางหลวงหมายเลข 12 - บ้านโพนนาดี</t>
  </si>
  <si>
    <t>เส้นขอบทาง กว้าง 0.10 ม.</t>
  </si>
  <si>
    <t>ขุดรื้อคันทางเดิม ขนทิ้งแล้วบดทับ</t>
  </si>
  <si>
    <t xml:space="preserve">           เส้นแบ่งทิศทางจราจร กว้าง 0.10 ม.</t>
  </si>
  <si>
    <t>ลงหินคลุกพื้นทางและพื้นไหล่ทาง CRUSHED  STONE  SOIL</t>
  </si>
  <si>
    <r>
      <t>AGGREGATE  TYPE  BASE C.B.R. ≥</t>
    </r>
    <r>
      <rPr>
        <sz val="16.100000000000001"/>
        <rFont val="TH SarabunPSK"/>
        <family val="2"/>
      </rPr>
      <t xml:space="preserve"> </t>
    </r>
    <r>
      <rPr>
        <sz val="14"/>
        <rFont val="TH SarabunPSK"/>
        <family val="2"/>
      </rPr>
      <t>80 %  บดอัดไม่น้อยกว่า 95 %</t>
    </r>
  </si>
  <si>
    <t xml:space="preserve">MODIFIED  PROCTOR  DENSITY  หนาเฉลี่ย   20  ซม.    </t>
  </si>
  <si>
    <t xml:space="preserve">หินคลุกปรับระดับพื้นทางเดิมบดอัดแน่น    จำนวนไม่น้อยกว่า </t>
  </si>
  <si>
    <t xml:space="preserve">ทำผิวทางและผิวไหล่ทางแบบ ASPHALTIC CONCRETE  หนาเฉลี่ย  </t>
  </si>
  <si>
    <t xml:space="preserve">   1. หลังจากดำเนินการปรับปรุงงานบริเวณคอขวด : ไหล่ทาง  แล้วให้ทำการตัดหญ้าสองข้างทางออกไปข้างละไม่น้อยกว่า 1.00 ม.</t>
  </si>
  <si>
    <t>อำเภอกุฉินารายณ์     จังหวัดกาฬสินธุ์</t>
  </si>
  <si>
    <t xml:space="preserve"> แบบแสดงรูปตัดตามขวางงานปรับปรุงคอขวด : ขยายไหล่ทาง</t>
  </si>
  <si>
    <t>แบบมาตรฐาน งานซ่อมสร้างผิวทางแอสฟัลติกคอนกรีต แบบเลขที่ บร-204/56</t>
  </si>
  <si>
    <t>แบบมาตรฐานการตี RUMBLE STRIPS แบบเลขที่  จร-204/56</t>
  </si>
  <si>
    <t>-  คัน/วัน</t>
  </si>
  <si>
    <t>แผ่นที่  2 / 4</t>
  </si>
  <si>
    <t>จำนวน  4  แผ่น</t>
  </si>
  <si>
    <t>แผ่นที่  3 / 4</t>
  </si>
  <si>
    <t>แผ่นที่  4 / 4</t>
  </si>
  <si>
    <t>หินคลุกบดอัดแน่น (ไหล่ทาง)</t>
  </si>
  <si>
    <t>หินคลุกปรับระดับ (พื้นทาง)</t>
  </si>
  <si>
    <t>ปริมาณหินคลุกปรับระดับ (พื้นทาง)</t>
  </si>
  <si>
    <t xml:space="preserve">และปรับปรุงแก้ไขบริเวณเสี่ยงอันตรายบริเวณคอขวด : ขยายไหล่ทาง </t>
  </si>
  <si>
    <t>(โดยวิธี Pavement In - Place Recyling)</t>
  </si>
  <si>
    <t xml:space="preserve">(ในกรณีที่ไม่สามารถดำเนินการได้ตามรายการข้างต้น ให้ทำการปรับปรุงบริเวณคอขวด : ขยายไหล่ทาง (โดยวิธี Pavement In - Place Recyling) ได้ตามสภาพพื้นที่  </t>
  </si>
  <si>
    <t>โดยให้อยู่ในดุลพินิจของผู้ควบคุมงาน แต่จะต้องได้ปริมาณงานไม่น้อยกว่าที่กำหนดในแบบก่อสร้าง)</t>
  </si>
  <si>
    <t xml:space="preserve">รายละเอียดประกอบแบบงานอำนวยความปลอดภัยฯ บริเวณคอขวด : ขยายไหล่ทาง </t>
  </si>
  <si>
    <t>งานอำนวยความปลอดภัยฯ  บริเวณคอขวด : ขยายไหล่ทาง (โดยวิธี Pavement In - Place Recyling)</t>
  </si>
  <si>
    <t xml:space="preserve">   1. หลังจากดำเนินการปรับปรุงงานบริเวณคอขวด : ขยายไหล่ทาง (โดยวิธี Pavement In - Place Recycling)  แล้วให้ทำการตัดหญ้าสองข้างทางออกไปข้างละไม่น้อยกว่า 1.00 ม.</t>
  </si>
  <si>
    <t>ช่วงที่ 1  Pavement In - Place Recycling</t>
  </si>
  <si>
    <t>ช่วงที่ 2  Pavement In - Place Recycling</t>
  </si>
  <si>
    <t>สรุป  ระยะทางซ่อมสร้างฯ (โดยวิธี Pavement In - Place Recycling)</t>
  </si>
  <si>
    <t>วิศวกรโยธา (พร.)</t>
  </si>
  <si>
    <t>นายช่างโยธาชำนาญงาน</t>
  </si>
  <si>
    <t>ช่วง</t>
  </si>
  <si>
    <t>กม.เริ่ม</t>
  </si>
  <si>
    <t>กม.สิ้นสุด</t>
  </si>
  <si>
    <t>ผิวจราจร</t>
  </si>
  <si>
    <t>ไหล่ทาง</t>
  </si>
  <si>
    <t>วิธี</t>
  </si>
  <si>
    <t>หินคลุก(หลวม)</t>
  </si>
  <si>
    <t>Recycling</t>
  </si>
  <si>
    <t>PC ผิว</t>
  </si>
  <si>
    <t>PC ไหล่</t>
  </si>
  <si>
    <t>งาน Recycling</t>
  </si>
  <si>
    <t>ม</t>
  </si>
  <si>
    <t>Prime Coat ไหล่</t>
  </si>
  <si>
    <t>AC บน PC ไหล่</t>
  </si>
  <si>
    <t>recycling</t>
  </si>
  <si>
    <t>Prime Coat</t>
  </si>
  <si>
    <t>AC บน PC</t>
  </si>
  <si>
    <t>Tack Coat</t>
  </si>
  <si>
    <t>AC บน TC</t>
  </si>
  <si>
    <t>ตีเส้น</t>
  </si>
  <si>
    <t>บ่อ</t>
  </si>
  <si>
    <t>งาน Overlay</t>
  </si>
  <si>
    <t>AC ผิว (PC)</t>
  </si>
  <si>
    <t>AC ไหล่ (PC)</t>
  </si>
  <si>
    <t>TC ผิว</t>
  </si>
  <si>
    <t>TC ไหล่</t>
  </si>
  <si>
    <t>AC ผิว (TC)</t>
  </si>
  <si>
    <t>AC ไหล่ (TC)</t>
  </si>
  <si>
    <t>Tack Coat ผิว</t>
  </si>
  <si>
    <t>Tack Coat ไหล่</t>
  </si>
  <si>
    <t>AC บน TC ผิว</t>
  </si>
  <si>
    <t>AC บน TC ไหล่</t>
  </si>
  <si>
    <t>ระยะทางทั้งหมด</t>
  </si>
  <si>
    <t>เส้นขอบทาง กว้าง 0.15 ม.</t>
  </si>
  <si>
    <t>เส้นแบ่งทิศทางจราจร กว้าง 0.15 ม.</t>
  </si>
  <si>
    <t xml:space="preserve">  NOT  TO  SCALE</t>
  </si>
  <si>
    <t>รูปตัดตามขวางงานเสริมผิวฯ</t>
  </si>
  <si>
    <t xml:space="preserve">  รูปตัดตามขวางเสริมผิวทางแอสฟัลติกคอนกรีต</t>
  </si>
  <si>
    <t>ทำ TACK  COAT ผิวไหล่ทางเดิม</t>
  </si>
  <si>
    <t>ทำ TACK  COAT ผิวทางเดิม</t>
  </si>
  <si>
    <t>นายสันชัย  รินสันเทียะ</t>
  </si>
  <si>
    <t>แผ่นที่  3 / 8</t>
  </si>
  <si>
    <t xml:space="preserve">   5. ในกรณีที่ดำเนินการเสริมหินคลุกปรับระดับความหนาเฉลี่ย 0.05 ม. ให้ผู้รับจ้างดำเนินการขุดรื้อพื้นทางเดิมผสมกับหินคลุกใหม่</t>
  </si>
  <si>
    <t xml:space="preserve">       แล้วทำการขุดกัดไสให้ได้ความลึก 0.20 ม.</t>
  </si>
  <si>
    <t>ช่วงที่ 1 กม.ที่ 0+000 - 0+425   รวมระยะทาง  0.425  กิโลเมตร</t>
  </si>
  <si>
    <t>ทำผิวทางแบบ ASPHALTIC CONCRETE  หนาเฉลี่ย 5  ซม.</t>
  </si>
  <si>
    <t>ทำผิวไหล่ทางแบบ ASPHALTIC CONCRETE  หนาเฉลี่ย 5  ซม.</t>
  </si>
  <si>
    <t>RSA/4S</t>
  </si>
  <si>
    <t>นายสุภวัฒน์  มูลนาม</t>
  </si>
  <si>
    <t>งานอาคารระบายน้ำ</t>
  </si>
  <si>
    <t>6.1 ท่อลอดกลม ค.ส.ล.</t>
  </si>
  <si>
    <t>ท่อน</t>
  </si>
  <si>
    <t>12. งานวางท่อ ค.ส.ล.</t>
  </si>
  <si>
    <t>ตารางแสดงขนาดต่าง ๆ ของกำแพง คสล. กันน้ำเซาะที่ปลายท่อระบายน้ำ</t>
  </si>
  <si>
    <t>ลักษณะท่อ</t>
  </si>
  <si>
    <t>มุม</t>
  </si>
  <si>
    <t>ขนาดท่อ (ซม.)</t>
  </si>
  <si>
    <t>ท่อแถวเดียว</t>
  </si>
  <si>
    <t>ท่อสองแถว</t>
  </si>
  <si>
    <t>ท่อสามแถว</t>
  </si>
  <si>
    <t>จำนวน/เที่ยว</t>
  </si>
  <si>
    <t>ค่าวาง</t>
  </si>
  <si>
    <t>คอนกรีตหยาบ</t>
  </si>
  <si>
    <t>T</t>
  </si>
  <si>
    <t>B</t>
  </si>
  <si>
    <t>L</t>
  </si>
  <si>
    <t>ชนิดปากลิ้นราง</t>
  </si>
  <si>
    <t>กำหนดให้  มุม = 30  เป็นมุมที่กำแพง คสล. กันน้ำเซาะที่ปลายท่อระบายน้ำ</t>
  </si>
  <si>
    <t>ทรายถม</t>
  </si>
  <si>
    <t>ทรายหยาบ</t>
  </si>
  <si>
    <t>บาท/ลบ.ม. ขนส่ง</t>
  </si>
  <si>
    <t>บาท/ลบ.ม. (รถสิบล้อ)</t>
  </si>
  <si>
    <t>บาท/ตัน ขนส่ง</t>
  </si>
  <si>
    <t>หินผสมคอนกรีต</t>
  </si>
  <si>
    <t>บาท/ลบ.ม. (รถสิบล้อ+ลากพ่วง)</t>
  </si>
  <si>
    <t>บาท/ตัน     (รถสิบล้อ)</t>
  </si>
  <si>
    <t>... ต้นทุนคอนกรีตหยาบ (1:3:5 ซิเมนต์ 240 กก. ทราย 0.433 ลบ.ม. หิน 0.778 ลบ.ม.)</t>
  </si>
  <si>
    <t>(ลงชื่อ)</t>
  </si>
  <si>
    <t>6.2 รางระบายน้ำ</t>
  </si>
  <si>
    <t xml:space="preserve">   5.2.30 ป้ายจราจรแบบ </t>
  </si>
  <si>
    <t xml:space="preserve">   5.2.31 ป้ายจราจรแบบ </t>
  </si>
  <si>
    <t>กส.4076</t>
  </si>
  <si>
    <t>แยกทางหลวงหมายเลข  2289 - บ้านหนองไผ่</t>
  </si>
  <si>
    <t>ชนิด</t>
  </si>
  <si>
    <t>ความกว้างรางระบายน้ำ</t>
  </si>
  <si>
    <t>ความสูงรางระบายน้ำ</t>
  </si>
  <si>
    <t>ความหนาของฝาปิด</t>
  </si>
  <si>
    <t>เหล็กเสริม</t>
  </si>
  <si>
    <t>(W)</t>
  </si>
  <si>
    <t>(T1)</t>
  </si>
  <si>
    <t>(T2)</t>
  </si>
  <si>
    <t>A</t>
  </si>
  <si>
    <t>C</t>
  </si>
  <si>
    <t xml:space="preserve"> @มม.</t>
  </si>
  <si>
    <t xml:space="preserve"> @ซม.</t>
  </si>
  <si>
    <t>ก-30</t>
  </si>
  <si>
    <t>ข-30</t>
  </si>
  <si>
    <t>ค-30</t>
  </si>
  <si>
    <t>ง-30</t>
  </si>
  <si>
    <t>ก-50</t>
  </si>
  <si>
    <t>ข-50</t>
  </si>
  <si>
    <t>ค-50</t>
  </si>
  <si>
    <t>ง-50.</t>
  </si>
  <si>
    <t>ตารางแสดงเหล็กเสริมกันร้าว(Temp Bars)</t>
  </si>
  <si>
    <t>ความหนาของคอนกรีต</t>
  </si>
  <si>
    <t>รายละเอียดการเสริมเหล็ก</t>
  </si>
  <si>
    <t>สาย กส.4076  แยกทางหลวงหมายเลข  2289 - บ้านหนองไผ่  อำเภอสามชัย  จังหวัดกาฬสินธุ์</t>
  </si>
  <si>
    <t>ความยาวราง (ม.)</t>
  </si>
  <si>
    <t>ความลาดชัน</t>
  </si>
  <si>
    <r>
      <t xml:space="preserve"> </t>
    </r>
    <r>
      <rPr>
        <sz val="16"/>
        <rFont val="JasmineUPC"/>
        <family val="1"/>
      </rPr>
      <t>Ø</t>
    </r>
    <r>
      <rPr>
        <sz val="16"/>
        <rFont val="TH SarabunPSK"/>
        <family val="2"/>
      </rPr>
      <t xml:space="preserve"> มม.</t>
    </r>
  </si>
  <si>
    <t xml:space="preserve"> @ม.</t>
  </si>
  <si>
    <t>ลึกแรก</t>
  </si>
  <si>
    <t>สุดท้าย</t>
  </si>
  <si>
    <t>ลึกเฉลี่ย</t>
  </si>
  <si>
    <t>ค่าวัสดุ+ค่าแรง</t>
  </si>
  <si>
    <t>ตัวราง</t>
  </si>
  <si>
    <t>ปริมาณงานที่คิด</t>
  </si>
  <si>
    <t>ค่าวัสดุ</t>
  </si>
  <si>
    <t>และค่าแรง</t>
  </si>
  <si>
    <t>Lean</t>
  </si>
  <si>
    <t>ทรายรองพื้น</t>
  </si>
  <si>
    <t>RB6</t>
  </si>
  <si>
    <t>RB9</t>
  </si>
  <si>
    <t>RB12</t>
  </si>
  <si>
    <t>L 50x50x4 mm.</t>
  </si>
  <si>
    <t>ไม้แบบ</t>
  </si>
  <si>
    <t>ไม้กระบาก</t>
  </si>
  <si>
    <t>ลบ.ฟ.</t>
  </si>
  <si>
    <t>ไม้เคร่ารัดแบบ</t>
  </si>
  <si>
    <t>ตะปู</t>
  </si>
  <si>
    <t>น้ำมันทาแบบ</t>
  </si>
  <si>
    <t>ลิตร</t>
  </si>
  <si>
    <t>ฝาปูน</t>
  </si>
  <si>
    <t>ต่อหนึ่งแผ่น</t>
  </si>
  <si>
    <t>จำนวนทั้งหมด</t>
  </si>
  <si>
    <t>แผ่น</t>
  </si>
  <si>
    <t>ราคารวมเฉลี่ยต่อเมตร</t>
  </si>
  <si>
    <t>ราคารวมเฉลี่ยต่อเมตร  คิดเป็น</t>
  </si>
  <si>
    <t>ลงชื่อ</t>
  </si>
  <si>
    <t>...............................................................................</t>
  </si>
  <si>
    <t xml:space="preserve">     (นางสาวอาติยา  เครือวรรณ)</t>
  </si>
  <si>
    <t>คอนกรีต (ค2)</t>
  </si>
  <si>
    <t>ค่างานต้นทุนคอนกรีต ค2 ( ปูนซิเมนต์ 320 กก. ทราย 0.596 ลบ.ม. หิน 0.764 ลบ.ม .)</t>
  </si>
  <si>
    <t>ต้นทุนคอนกรีตหยาบ (1:3:5 ปูนซีเมนต์ 240 กก. ทราย 0.520 ลบ.ม. หิน 0.870 ลบ.ม.)</t>
  </si>
  <si>
    <t>ประมาณราคางานก่อสร้างบ่อพัก</t>
  </si>
  <si>
    <t>สายทาง</t>
  </si>
  <si>
    <t>สถานที่</t>
  </si>
  <si>
    <t>ขนาด</t>
  </si>
  <si>
    <t>1.10 x 1.10 ม.   จำนวน  1  บ่อ</t>
  </si>
  <si>
    <t>ลำดับที่</t>
  </si>
  <si>
    <t>ราคาวัสดุ - ค่าแรง / หน่วย</t>
  </si>
  <si>
    <t>รวมค่าวัสดุและ</t>
  </si>
  <si>
    <t>ขุดดิน</t>
  </si>
  <si>
    <t>ทรายถมข้างท่อ</t>
  </si>
  <si>
    <t>ทรายหยาบรองพื้น</t>
  </si>
  <si>
    <t>คอนกรีต (ค.2)</t>
  </si>
  <si>
    <t>6</t>
  </si>
  <si>
    <t>7</t>
  </si>
  <si>
    <t>ไม้แบบ (ใช้งาน 5 ครั้ง)</t>
  </si>
  <si>
    <t>8</t>
  </si>
  <si>
    <t>เคร่ารัดแบบ (คิด 30 % )</t>
  </si>
  <si>
    <t>9</t>
  </si>
  <si>
    <t>10</t>
  </si>
  <si>
    <t>เหล็กเส้น     RB     6  มม.</t>
  </si>
  <si>
    <t>11</t>
  </si>
  <si>
    <t>เหล็กเส้น     RB     9  มม.</t>
  </si>
  <si>
    <t>12</t>
  </si>
  <si>
    <t>เหล็กเส้น     DB     12  มม.</t>
  </si>
  <si>
    <t>13</t>
  </si>
  <si>
    <t>เหล็กเส้น     DB     16  มม.</t>
  </si>
  <si>
    <t>14</t>
  </si>
  <si>
    <t>เหล็กเส้น     DB     20  มม.</t>
  </si>
  <si>
    <t>15</t>
  </si>
  <si>
    <t>เหล็กเส้น     RB     25  มม.</t>
  </si>
  <si>
    <t>16</t>
  </si>
  <si>
    <t>17</t>
  </si>
  <si>
    <t>เหล็ก L ขนาด 50 x 50 x 4 มม.</t>
  </si>
  <si>
    <t>18</t>
  </si>
  <si>
    <t>19</t>
  </si>
  <si>
    <t>รวมค่าวัสดุ - ค่าแรง</t>
  </si>
  <si>
    <t>................................................................</t>
  </si>
  <si>
    <t xml:space="preserve"> (นางสาวอาติยา  เครือวรรณ)</t>
  </si>
  <si>
    <t xml:space="preserve"> - ค่างานต้นทุนคอนกรีต ค2 ( ปูนซิเมนต์ 320 กก. ทราย 0.596 ลบ.ม. หิน 0.764 ลบ.ม .)</t>
  </si>
  <si>
    <t>(240 ksc)</t>
  </si>
  <si>
    <t>ค่าขนส่งทราย,ปูน</t>
  </si>
  <si>
    <t>อำเภอสามชัย จังหวัดกาฬสินธุ์</t>
  </si>
  <si>
    <t>ท่อ คสล. ขนาด f 0.60 ม. x 1.00 ม.</t>
  </si>
  <si>
    <t>20</t>
  </si>
  <si>
    <t>เหล็กแผ่นขนาด 5 x 50 มม. หนา 6 มม.</t>
  </si>
  <si>
    <t>เหล็กแผ่นขนาด 10 x 100 มม. หนา 6  มม.</t>
  </si>
  <si>
    <t xml:space="preserve">   5.2.30 งานรางระบายน้ำพร้อมฝาปิดชนิด ข-30</t>
  </si>
  <si>
    <t xml:space="preserve">   5.2.31 งานบ่อพัก ชนิด ข-30</t>
  </si>
  <si>
    <t xml:space="preserve">กรมทางหลวงชนบท     สำนักงานทางหลวงชนบทที่ 16 (กาฬสินธุ์) </t>
  </si>
  <si>
    <t>นายอรุณ  มูลภักดี</t>
  </si>
  <si>
    <t xml:space="preserve">  รูปตัดตามขวางงานรางระบายน้ำ ค.ส.ล. แบบ ข-30 </t>
  </si>
  <si>
    <t xml:space="preserve">รูปตัดตามขวางงานรางระบายน้ำ ค.ส.ล. แบบ ข-30 </t>
  </si>
  <si>
    <t>โดยให้อยู่ในดุลพินิจของผู้ควบคุมงาน แต่จะต้องได้ปริมาณงานไม่น้อยกว่าที่กำหนดในแบบ</t>
  </si>
  <si>
    <t>ในกรณีที่ไม่สามารถดำเนินการก่อสร้างรางระบายน้ำ ค.ส.ล. แบบ ข-30  พร้อมบ่อพัก ให้ดำเนินการก่อสร้างฯ ได้ตามสภาพพื้นที่ก่อสร้าง</t>
  </si>
  <si>
    <t>แผ่นที่  4 / 6</t>
  </si>
  <si>
    <t xml:space="preserve"> งานรางระบายน้ำ ค.ส.ล. แบบ ข-30  ยาว  200  เมตร   พร้อมบ่อพัก  จำนวน  4  บ่อ  (กม.ที่ 0+545 - 0+745)</t>
  </si>
  <si>
    <t xml:space="preserve"> 11.3 กรณีปริมาณงานน้อยกว่าหรือเท่ากับ 10,000 ตัน</t>
  </si>
  <si>
    <t xml:space="preserve"> - ปริมาณงาน Para - Asphalt Concrete ทั้งโครงการ</t>
  </si>
  <si>
    <t xml:space="preserve">  - ค่าดำเนินการ + ค่าเสื่อมผสมพาราแอสฟัลติกคอนกรีต</t>
  </si>
  <si>
    <t xml:space="preserve"> - ค่าขนส่งพาราแอสฟัลติกคอนกรีตในสายทาง ระยะทาง </t>
  </si>
  <si>
    <t xml:space="preserve"> 11.4 กรณีปริมาณงานมากกว่า 10,000 ตัน</t>
  </si>
  <si>
    <t>ยาง PARA - AC</t>
  </si>
  <si>
    <t>2.4 Para - Asphaltic  Concrete</t>
  </si>
  <si>
    <t xml:space="preserve"> -  Para - Asphaltic  Concrete  ปูบน Prime  Coat </t>
  </si>
  <si>
    <t xml:space="preserve"> -  Para - Asphaltic  Concrete  ปูบน Tack  Coat</t>
  </si>
  <si>
    <t>3.4 Para - Asphaltic  Concrete</t>
  </si>
  <si>
    <t>ระยะทางรวม</t>
  </si>
  <si>
    <t>ปริมาณ</t>
  </si>
  <si>
    <t xml:space="preserve"> </t>
  </si>
  <si>
    <t>37..57</t>
  </si>
  <si>
    <t>58.5361.12</t>
  </si>
  <si>
    <t>318..1</t>
  </si>
  <si>
    <t>391..34</t>
  </si>
  <si>
    <t>3..74</t>
  </si>
  <si>
    <t>ผิวเรียบ เส้นผ่าศูนย์กลางน้อยกว่า 10 มม.</t>
  </si>
  <si>
    <t>ผิวเรียบ เส้นผ่าศูนย์กลางมากกว่า 10 มม.</t>
  </si>
  <si>
    <t>2.2 Tack  Coat (Css2)</t>
  </si>
  <si>
    <t>บาท หรือ</t>
  </si>
  <si>
    <t>1.11 หินคลุกปรับระดับ (แน่น)</t>
  </si>
  <si>
    <t xml:space="preserve">1.6 คอนกรีตปรับระดับกว้าง </t>
  </si>
  <si>
    <t>1.1 งานถางป่าขุดตอ/งานป้ดพื้นทำความสะอาดผิวทางเดิม</t>
  </si>
  <si>
    <t>Ac</t>
  </si>
  <si>
    <t xml:space="preserve">   6.1.1 ขนาด f 0.40 ม.</t>
  </si>
  <si>
    <t xml:space="preserve">   6.1.2 ขนาด f 0.60 ม.</t>
  </si>
  <si>
    <t xml:space="preserve">   6.1.3 ขนาด f 0.80 ม.</t>
  </si>
  <si>
    <t xml:space="preserve">   6.1.4 ขนาด f 1.00 ม.</t>
  </si>
  <si>
    <t xml:space="preserve"> กม.</t>
  </si>
  <si>
    <t>1.4 งานปรับดินเดิมข้างทาง</t>
  </si>
  <si>
    <t>ราคาน้ำมันโซล่าบี7 ที่  กทม  เฉลี่ย</t>
  </si>
  <si>
    <t>ราคาน้ำมันโซล่าบี7 ณ สถานที่ก่อสร้าง เฉลี่ย</t>
  </si>
  <si>
    <t>ใช้ราคาน้ำมันโซล่าบี7 ณ อำเภอเมือง ของสถานที่ก่อสร้าง</t>
  </si>
  <si>
    <t>ผู้อำนวยการกองช่าง</t>
  </si>
  <si>
    <t>อ.ภูผาม่าน จ.ขอนแก่น</t>
  </si>
  <si>
    <t xml:space="preserve"> - ค่าภาษีมูลค่าเพิ่ม </t>
  </si>
  <si>
    <t xml:space="preserve">  ค่างานติดตั้งเครื่องหมายจราจร กิจกรรมอำนวยความ      ปลอดภัยขณะก่อสร้าง</t>
  </si>
  <si>
    <t>แบบสรุปราคากลางงานก่อสร้างทาง สะพาน และท่อเหลี่ยม</t>
  </si>
  <si>
    <t>แบบ ปร.6</t>
  </si>
  <si>
    <t>ลำดับ</t>
  </si>
  <si>
    <t>ราคาทุน</t>
  </si>
  <si>
    <t>ราคาต่อหน่วย X Factor F</t>
  </si>
  <si>
    <t>ราคากลาง</t>
  </si>
  <si>
    <t>TOTAL</t>
  </si>
  <si>
    <t>ราคาค่าก่อสร้างคิดเพียง</t>
  </si>
  <si>
    <t>ค่า Factor F งานก่อสร้างทาง</t>
  </si>
  <si>
    <t>(ลงชื่อ)  .........................................................</t>
  </si>
  <si>
    <t>หรือมีพื้นที่ไม่น้อยกว่า</t>
  </si>
  <si>
    <t>AC บน PC ผิว</t>
  </si>
  <si>
    <t>6. งานพื้นทาง ( หินคลุกปรับระดับ )</t>
  </si>
  <si>
    <t>แบบ ปร.4/1</t>
  </si>
  <si>
    <t xml:space="preserve">                ค่างานต้นทุน</t>
  </si>
  <si>
    <t>O + (0.222 x R) - A</t>
  </si>
  <si>
    <t xml:space="preserve">   O  = ค่าดำเนินการและค่าเสื่อมราคาเครื่องจักร(ขุด-บดทับ)</t>
  </si>
  <si>
    <t xml:space="preserve">   R  = ค่าสารปรับปรุงคุณภาพแอสฟัลต์</t>
  </si>
  <si>
    <t xml:space="preserve"> บาท/ลิตร</t>
  </si>
  <si>
    <t xml:space="preserve">          ข้อมูลประกอบการคิดค่างาน</t>
  </si>
  <si>
    <t xml:space="preserve">  10.2 ค่า ASPHALT CONCRETE เพื่อปรับปรุงคุณภาพ ASPHALT  CONCRETE ผสมเพิ่ม 20 %</t>
  </si>
  <si>
    <t xml:space="preserve">   1. หินผสม AC ใช้หินปูน</t>
  </si>
  <si>
    <t xml:space="preserve">   2. เครื่องผสมคิดค่าขนส่งและติดตั้ง</t>
  </si>
  <si>
    <t xml:space="preserve">   3. ใช้ยาง AC 60-70</t>
  </si>
  <si>
    <t>(80T+I+0.047 A+0.74 B +M+C)+O</t>
  </si>
  <si>
    <t xml:space="preserve">  - ค่าดำเนินการ+ค่าเสื่อม (งานราดยางแทคโค้ต)</t>
  </si>
  <si>
    <t xml:space="preserve">  - ราคายาง </t>
  </si>
  <si>
    <t xml:space="preserve">          สารปรับปรุงคุณภาพ (%) 7.00</t>
  </si>
  <si>
    <t xml:space="preserve">          ยาง AC จากการล้าง (%) 4.600 (จากการออกแบบ Job Mix)</t>
  </si>
  <si>
    <t xml:space="preserve">          ข้อมูลประกอบการคิดค่างานต้นทุน</t>
  </si>
  <si>
    <t>ปริมาณ AC ทั้งโครงการ = ………….. ลบ.ม.</t>
  </si>
  <si>
    <t>................</t>
  </si>
  <si>
    <t xml:space="preserve"> ตัน</t>
  </si>
  <si>
    <t>ดังนั้น คิดใช้ปริมาณ AC = 10,000 ตัน ดำเนินการบนผิว Tack Coat หนา</t>
  </si>
  <si>
    <t>ค่าติดตั้งเครื่องผสม</t>
  </si>
  <si>
    <t>บาท/ครั้ง</t>
  </si>
  <si>
    <t>T = (ค่าขนส่งอุปกรณ์ระยะทาง 100 กม.+ค่าขึ้น-ลง)/10,000</t>
  </si>
  <si>
    <t>รถสิบล้อ+พ่วง</t>
  </si>
  <si>
    <t xml:space="preserve">     ค่าขนส่งอุปกรณ์ระยะทาง 100 กม.</t>
  </si>
  <si>
    <t xml:space="preserve">     ค่าขึ้น-ลง</t>
  </si>
  <si>
    <t xml:space="preserve">            I = ค่าติดตั้งเครื่องผสม 1 แห่ง = 250,000 /10,000</t>
  </si>
  <si>
    <t>A = ค่ายาง AC.60/70 + ค่าขนส่ง ระยะทาง 169 กม. + ค่าขึ้น-ลง</t>
  </si>
  <si>
    <t xml:space="preserve">      ค่ายาง AC.60/70</t>
  </si>
  <si>
    <t xml:space="preserve">     ค่างาน  ระยะทาง 169 กม.</t>
  </si>
  <si>
    <t>B = ค่ายางผสม + ค่าขึ้น-ลง</t>
  </si>
  <si>
    <t xml:space="preserve">      ค่าหินผสม AC'</t>
  </si>
  <si>
    <t>บาท/ลบ.ม</t>
  </si>
  <si>
    <t xml:space="preserve">            C  = ค่างานขนส่ง  Ashalt Concrete ระยะ L/4 (1 กม.)</t>
  </si>
  <si>
    <t>4. งานพื้นทางหินคลุก</t>
  </si>
  <si>
    <t xml:space="preserve">   10.1 สูตรค่างาน Hot mix In-Place Recycling : RE-MIXING METHOD 2 CM.(RECYCLING 3 CM.)</t>
  </si>
  <si>
    <t>Hot mix In-Place Recycling ขุดลึก 2.00 cm.</t>
  </si>
  <si>
    <t>ดังนั้นค่า T = (169.01+35) /10,000</t>
  </si>
  <si>
    <t xml:space="preserve">           M  = ค่างานผสมวัสดุ</t>
  </si>
  <si>
    <t xml:space="preserve">                                                                                                                                                     </t>
  </si>
  <si>
    <t xml:space="preserve">     ค่างาน  ระยะทาง 161 กม.</t>
  </si>
  <si>
    <t xml:space="preserve">            O  = ตัวแปค่างานปูลาด ตามความหนา 0.03ขนส่ง  Ashalt Concrete ระยะ L/4 (1 กม.)</t>
  </si>
  <si>
    <t xml:space="preserve">  10.3 = ค่าดำเนินการและค่าเสื่อมราคาบดทับ หนา 3.00 ซม. (15.85/0.05)*0.03</t>
  </si>
  <si>
    <t xml:space="preserve">         ASPHALT CONCRETE WEARING COURSE 2 CM. THICK</t>
  </si>
  <si>
    <t xml:space="preserve"> -  Asphaltic  Hot Mix In-Place Recycling แบบ Re-Paving 5 cm. </t>
  </si>
  <si>
    <t xml:space="preserve">          ปริมาณสารปรับปรุงคุณภาพแอสฟัลต์ 0.222 ลิตร/ตร.ม. </t>
  </si>
  <si>
    <t>ดังนั้น ต้นทุน =  2032.95/13.89</t>
  </si>
  <si>
    <t>ดังนั้นค่า A = (25,300+285.22+35)</t>
  </si>
  <si>
    <t>อัตราการใช้ยางCRS-2 0.30 ลิตร @ (26,500 บาท/ตัน) /1,000   (</t>
  </si>
  <si>
    <t>ดังนั้นค่า B = (201.57+271.69)</t>
  </si>
  <si>
    <t>ดังนั้น ต้นทุน = (80x0.020)+25+(0.047x25620.22)+(0.74x473.259+437.13+8.32)+9.51</t>
  </si>
  <si>
    <t>ดังนั้น ต้นทุน =  71.46+146.58+9.51</t>
  </si>
  <si>
    <t>Overlay</t>
  </si>
  <si>
    <t>Hotmix recycling</t>
  </si>
  <si>
    <t>1.2 งานขุดรื้อคันทางเดิมผิว AC 3 ซม. แล้วบดทับ</t>
  </si>
  <si>
    <t xml:space="preserve"> -  Asphaltic Concrete หนา 4 ซม. (ปูบน Prime Coat)</t>
  </si>
  <si>
    <t xml:space="preserve"> -  Asphaltic Concrete หนา 4 ซม. (ปูบน Tack Coat)</t>
  </si>
  <si>
    <t>Prime Coat ผิว</t>
  </si>
  <si>
    <t>โครงการ</t>
  </si>
  <si>
    <t>สูตรการเทียบหาค่าแฟกเตอร์ f</t>
  </si>
  <si>
    <t>A    =</t>
  </si>
  <si>
    <t>D-((D-E)x(A-B)/(C-B))………..(1)</t>
  </si>
  <si>
    <t>A   =</t>
  </si>
  <si>
    <t>หมายถึง ค่างานต้นทุนที่ต้องการหาค่า factor f</t>
  </si>
  <si>
    <t>B   =</t>
  </si>
  <si>
    <t>หมายถึง ค่างานต้นทุนขั้นต่ำของช่วงค่างานต้นทุน ที่ค่างานต้นทุนที่ต้องการหาค่า factor f (ค่างานต้นทุนA)อยู่</t>
  </si>
  <si>
    <t>C   =</t>
  </si>
  <si>
    <t>หมายถึง ค่างานต้นทุนขั้นสูงของช่วงค่างานต้นทุน ที่ค่างานต้นทุนที่ต้องการหาค่า factor f (ค่างานต้นทุนA)อยู่</t>
  </si>
  <si>
    <t>D   =</t>
  </si>
  <si>
    <t>หมายถึง factor f  ค่างานต้นทุนขั้นต่ำของช่วงค่างานต้นทุน ที่ค่างานต้นทุนที่ต้องการหาค่า factor f (ค่างานต้นทุนA)อยู่</t>
  </si>
  <si>
    <t>E   =</t>
  </si>
  <si>
    <t>หมายถึง factor f  ค่างานต้นทุนขั้นสูงของช่วงค่างานต้นทุน ที่ค่างานต้นทุนที่ต้องการหาค่า factor f (ค่างานต้นทุนA)อยู่</t>
  </si>
  <si>
    <t xml:space="preserve">หาค่า </t>
  </si>
  <si>
    <t>D-E</t>
  </si>
  <si>
    <t>A-B</t>
  </si>
  <si>
    <t>C-B</t>
  </si>
  <si>
    <t>ค่าfactor F ตามสูตร…..(1) =</t>
  </si>
  <si>
    <t xml:space="preserve">   10.1 สูตรค่างาน Pavement In-Place Recycling </t>
  </si>
  <si>
    <t xml:space="preserve">   N  =   [ Operating Cost + AY + SC ]</t>
  </si>
  <si>
    <t xml:space="preserve">   N  =  ค่างาน Pavement In-Place Recycling</t>
  </si>
  <si>
    <t xml:space="preserve">   A  =  ปริมาณยางแอสฟัลต์</t>
  </si>
  <si>
    <t xml:space="preserve">   Y  =  ราคายางแอสฟัลต์บวกค่าขนส่ง</t>
  </si>
  <si>
    <t xml:space="preserve">   S  =  ปริมาณปูนซีเมนต์</t>
  </si>
  <si>
    <t xml:space="preserve">   C  =  ราคาปริมาณปูนซีเมนต์บวกค่าขนส่ง</t>
  </si>
  <si>
    <t xml:space="preserve">  10.2 ข้อมูลประกอบการคิดค่างาน</t>
  </si>
  <si>
    <t xml:space="preserve">  Operating Cost                        </t>
  </si>
  <si>
    <t xml:space="preserve">  ความลึกในการขุดกัด                     </t>
  </si>
  <si>
    <t xml:space="preserve">  ปริมาณซีเมนต์ที่ใช้ (โดยน้ำหนัก)      </t>
  </si>
  <si>
    <t xml:space="preserve">  หน่วยน้ำหนักของวัสดุพื้นทางที่ขุดกัด  </t>
  </si>
  <si>
    <t xml:space="preserve">  - ค่าปูนซีเมนต์ + ค่าขนส่ง                                                    </t>
  </si>
  <si>
    <t xml:space="preserve">  - ปริมาณปูนซีเมนต์ต่อตารางเมตร</t>
  </si>
  <si>
    <t xml:space="preserve">          ค่างาน Pavement In-Place Recycling</t>
  </si>
  <si>
    <t xml:space="preserve">          รวมค่างาน Pavement In-Place Recycling</t>
  </si>
  <si>
    <t>10.1 งาน Hot mix In-Place Recycling : RE-MIXING METHOD 2 CM.(RECYCLING 3 CM.)</t>
  </si>
  <si>
    <t>10.2 งาน Pavement In-Place Recycling</t>
  </si>
  <si>
    <t>งานขุดรื้อ</t>
  </si>
  <si>
    <t>โครงการ :</t>
  </si>
  <si>
    <t xml:space="preserve">     โครงการ</t>
  </si>
  <si>
    <t>จังหวัดขอนแก่น</t>
  </si>
  <si>
    <t>(Pavement In-Place Recycling 20 Cm.)</t>
  </si>
  <si>
    <t>(Overlay)</t>
  </si>
  <si>
    <t>รายละเอียด :</t>
  </si>
  <si>
    <t>สถานที่ตั้ง :</t>
  </si>
  <si>
    <t>แบบ ปร.4/2</t>
  </si>
  <si>
    <t>ตีขนาด 10 ซม.</t>
  </si>
  <si>
    <t xml:space="preserve">   ค่างานขนส่ง </t>
  </si>
  <si>
    <t xml:space="preserve">   ดังนั้น R =( R + ค่าขนส่ง)</t>
  </si>
  <si>
    <t xml:space="preserve">   A  = ค่าดำเนินการและค่าเสื่อมราคาเครื่องจักร(บดทับ) = (11.36/5) x 2</t>
  </si>
  <si>
    <t xml:space="preserve">   ค่างานต้นทุน  = O+(0.222*R)-A</t>
  </si>
  <si>
    <t xml:space="preserve">     ขนาดเบา</t>
  </si>
  <si>
    <t>ดูจาก S2</t>
  </si>
  <si>
    <t>องค์การบริหารส่วนตำบลเพ็กใหญ่ อำเภอพล จังหวัดขอนแก่น</t>
  </si>
  <si>
    <t>ป้าย</t>
  </si>
  <si>
    <t>.......................................................................................</t>
  </si>
  <si>
    <t>.....................................................................................</t>
  </si>
  <si>
    <t>คิดเป็นเงินเพียง</t>
  </si>
  <si>
    <t>อยู่ในท้องที่จังหวัด : ขอนแก่น</t>
  </si>
  <si>
    <t>เงินล่วงหน้าจ่าย :  0  %</t>
  </si>
  <si>
    <t>เงินประกันผลงานหัก :  0  %</t>
  </si>
  <si>
    <t>ภาษีมูลค่าเพิ่ม :  7  %</t>
  </si>
  <si>
    <t>ค่าขนขึ้นลง</t>
  </si>
  <si>
    <t>ค่าตัด/ดัดเหล็ก</t>
  </si>
  <si>
    <t>เหล็กเส้นใช้งานสะพาน SD40</t>
  </si>
  <si>
    <t>ปูนซีเมนต์ประเภท 1</t>
  </si>
  <si>
    <t>หินผสมแอสฟัลต์คอนกรีต</t>
  </si>
  <si>
    <t>ทรายผสมคอนกรีต</t>
  </si>
  <si>
    <t>วัสดุลูกรังรองพื้นทาง</t>
  </si>
  <si>
    <t>วัสดุคัดเลือก "ก"</t>
  </si>
  <si>
    <t>วัสดุคัดเลือก "ข"</t>
  </si>
  <si>
    <t>ทรายถมคันทาง</t>
  </si>
  <si>
    <t>ดินถมคันทาง</t>
  </si>
  <si>
    <t>เหล็กตะแกรง Dai.6 มม.ตา0.20x0.20</t>
  </si>
  <si>
    <t>เหล็กตะแกรง Dai.6 มม.ตา0.30x0.30</t>
  </si>
  <si>
    <t>ยาง CMS-2h</t>
  </si>
  <si>
    <t>หมายเหตุ : การคำนวณและเลือกใช้ตารางค่าขนส่งวัสดุก่อสร้างให้ถือปฏิบัติตารางและหลักเกณฑ์คำนวณค่าขนย้ายส่งวัสดุก่อสร้าง</t>
  </si>
  <si>
    <t>พานิชย์จังหวัดขอนแก่น</t>
  </si>
  <si>
    <t xml:space="preserve">เขตฝนตก : </t>
  </si>
  <si>
    <t xml:space="preserve">ราคาน้ำมันดีเซล บี 7 : </t>
  </si>
  <si>
    <t>อัตราดอกเบี้ยเงินกู้ (MLR) :  7  %</t>
  </si>
  <si>
    <t>บาท/กก.</t>
  </si>
  <si>
    <t>สืบในพื้นที่</t>
  </si>
  <si>
    <t>ราคาพาณิชย์ ขก.</t>
  </si>
  <si>
    <t>ยาง AC 60/70</t>
  </si>
  <si>
    <t>หิน 3/4"</t>
  </si>
  <si>
    <t>หิน 1/2"</t>
  </si>
  <si>
    <t>หิน 3/8"</t>
  </si>
  <si>
    <t>เหล็กเส้นผิวเรียบ 19 มม.</t>
  </si>
  <si>
    <t>เหล็กเส้นผิวข้ออ้อย SD40 12 มม.</t>
  </si>
  <si>
    <t>สืบบัญชีกรมทางหลวง</t>
  </si>
  <si>
    <t>โรงโม่หินเทพประทานพร</t>
  </si>
  <si>
    <t>เจ้าของโครงการ : องค์การบริหารส่วนตำบลเพ็กใหญ่ อำเภอพล จังหวัดขอนแก่น</t>
  </si>
  <si>
    <t>แบบสรุปข้อมูลวัสดุค่าดำเนินการงานก่อสร้างทาง สะพาน และท่อเหลี่ยม</t>
  </si>
  <si>
    <r>
      <t xml:space="preserve">รหัส Unprotect      </t>
    </r>
    <r>
      <rPr>
        <b/>
        <sz val="14"/>
        <color indexed="9"/>
        <rFont val="TH SarabunPSK"/>
        <family val="2"/>
      </rPr>
      <t>000</t>
    </r>
  </si>
  <si>
    <r>
      <t>กรอกข้อความ หรือ ตัวเลข  เฉพาะในช่องพื้น</t>
    </r>
    <r>
      <rPr>
        <b/>
        <sz val="14"/>
        <rFont val="TH SarabunPSK"/>
        <family val="2"/>
      </rPr>
      <t xml:space="preserve"> </t>
    </r>
    <r>
      <rPr>
        <b/>
        <sz val="14"/>
        <color indexed="13"/>
        <rFont val="TH SarabunPSK"/>
        <family val="2"/>
      </rPr>
      <t>สีเหลือง</t>
    </r>
  </si>
  <si>
    <r>
      <rPr>
        <b/>
        <sz val="14"/>
        <rFont val="TH SarabunPSK"/>
        <family val="2"/>
      </rPr>
      <t>ฝนตกชุก 1*</t>
    </r>
    <r>
      <rPr>
        <sz val="14"/>
        <rFont val="TH SarabunPSK"/>
        <family val="2"/>
      </rPr>
      <t xml:space="preserve">    = จันทบุรี  ,ชุมพร ,เชียงราย ,ตรัง ,นครพนม ,นครศรีธรรมราช ,ปราจีนบุรี ,ปัตตานี ,พัทลุง ,สงขลา ,สตูล ,สุราษฎร์ธานี ,หนองคาย</t>
    </r>
  </si>
  <si>
    <r>
      <rPr>
        <b/>
        <sz val="14"/>
        <rFont val="TH SarabunPSK"/>
        <family val="2"/>
      </rPr>
      <t>ฝนตกชุก 2**</t>
    </r>
    <r>
      <rPr>
        <sz val="14"/>
        <rFont val="TH SarabunPSK"/>
        <family val="2"/>
      </rPr>
      <t xml:space="preserve">   = ตราด ,นราธิวาส ,พังงา ,ภูเก็ต ,ยะลา ,ระนอง</t>
    </r>
  </si>
  <si>
    <r>
      <rPr>
        <b/>
        <u/>
        <sz val="14"/>
        <color rgb="FFFF0000"/>
        <rFont val="TH SarabunPSK"/>
        <family val="2"/>
      </rPr>
      <t>กรณี 1</t>
    </r>
    <r>
      <rPr>
        <sz val="14"/>
        <color theme="1"/>
        <rFont val="TH SarabunPSK"/>
        <family val="2"/>
      </rPr>
      <t xml:space="preserve">  จากระยองถึงหน้างาน ใช้ราคาน้ำมันโซล่าบี7 ณ อำเภอเมือง ของสถานที่ก่อสร้าง</t>
    </r>
  </si>
  <si>
    <r>
      <rPr>
        <b/>
        <u/>
        <sz val="14"/>
        <color rgb="FFFF0000"/>
        <rFont val="TH SarabunPSK"/>
        <family val="2"/>
      </rPr>
      <t>กรณี 2</t>
    </r>
    <r>
      <rPr>
        <sz val="14"/>
        <color theme="1"/>
        <rFont val="TH SarabunPSK"/>
        <family val="2"/>
      </rPr>
      <t xml:space="preserve"> จาก อ.บ้านโป่ง จ.ราชบุรี ถึง หน้างาน ใช้ราคาน้ำมันโซล่าบี7 ณ อำเภอเมือง </t>
    </r>
  </si>
  <si>
    <r>
      <rPr>
        <b/>
        <u/>
        <sz val="14"/>
        <color rgb="FFFF0000"/>
        <rFont val="TH SarabunPSK"/>
        <family val="2"/>
      </rPr>
      <t>กรณี 3</t>
    </r>
    <r>
      <rPr>
        <sz val="14"/>
        <rFont val="TH SarabunPSK"/>
        <family val="2"/>
      </rPr>
      <t xml:space="preserve"> จาก อ.สูงเนิน จ.นครราชสีมา ถึง หน้างาน ใช้ราคาน้ำมันโซล่าบี7 ณ อำเภอเมือง ของสถานที่ก่อสร้าง</t>
    </r>
  </si>
  <si>
    <r>
      <rPr>
        <b/>
        <u/>
        <sz val="14"/>
        <color rgb="FFFF0000"/>
        <rFont val="TH SarabunPSK"/>
        <family val="2"/>
      </rPr>
      <t>กรณี 4</t>
    </r>
    <r>
      <rPr>
        <sz val="14"/>
        <color theme="1"/>
        <rFont val="TH SarabunPSK"/>
        <family val="2"/>
      </rPr>
      <t xml:space="preserve"> จากระยอง ถึงหน้างาน ใช้ราคาน้ำมันโซล่าบี7 ณ อำเภอเมือง ของสถานที่ก่อสร้าง</t>
    </r>
  </si>
  <si>
    <r>
      <rPr>
        <b/>
        <u/>
        <sz val="14"/>
        <color rgb="FFFF0000"/>
        <rFont val="TH SarabunPSK"/>
        <family val="2"/>
      </rPr>
      <t>กรณี 5</t>
    </r>
    <r>
      <rPr>
        <sz val="14"/>
        <color theme="1"/>
        <rFont val="TH SarabunPSK"/>
        <family val="2"/>
      </rPr>
      <t xml:space="preserve"> จาก อ.สูงเนิน ถึงหน้างาน ใช้ราคาน้ำมันโซล่าบี7 ณ อำเภอเมือง ของสถานที่ก่อสร้าง</t>
    </r>
  </si>
  <si>
    <r>
      <t xml:space="preserve">12.1  ท่อ คสล. ขนาด </t>
    </r>
    <r>
      <rPr>
        <sz val="14"/>
        <rFont val="TH SarabunPSK"/>
        <family val="2"/>
      </rPr>
      <t xml:space="preserve">f </t>
    </r>
    <r>
      <rPr>
        <b/>
        <sz val="14"/>
        <rFont val="TH SarabunPSK"/>
        <family val="2"/>
      </rPr>
      <t>0.40 ม. x 1.00 ม.</t>
    </r>
  </si>
  <si>
    <r>
      <t xml:space="preserve">12.2  ท่อ คสล. ขนาด </t>
    </r>
    <r>
      <rPr>
        <sz val="14"/>
        <rFont val="TH SarabunPSK"/>
        <family val="2"/>
      </rPr>
      <t>f</t>
    </r>
    <r>
      <rPr>
        <b/>
        <sz val="14"/>
        <rFont val="TH SarabunPSK"/>
        <family val="2"/>
      </rPr>
      <t xml:space="preserve"> 0.60 ม. x 1.00 ม.</t>
    </r>
  </si>
  <si>
    <r>
      <t>12.3  ท่อ คสล. ขนาด</t>
    </r>
    <r>
      <rPr>
        <sz val="14"/>
        <rFont val="TH SarabunPSK"/>
        <family val="2"/>
      </rPr>
      <t xml:space="preserve"> f</t>
    </r>
    <r>
      <rPr>
        <b/>
        <sz val="14"/>
        <rFont val="TH SarabunPSK"/>
        <family val="2"/>
      </rPr>
      <t xml:space="preserve"> 0.80 ม. x 1.00 ม.</t>
    </r>
  </si>
  <si>
    <r>
      <t xml:space="preserve">12.4  ท่อ คสล. ขนาด </t>
    </r>
    <r>
      <rPr>
        <sz val="14"/>
        <rFont val="TH SarabunPSK"/>
        <family val="2"/>
      </rPr>
      <t>f</t>
    </r>
    <r>
      <rPr>
        <b/>
        <sz val="14"/>
        <rFont val="TH SarabunPSK"/>
        <family val="2"/>
      </rPr>
      <t xml:space="preserve"> 1.00 ม. x 1.00 ม.</t>
    </r>
  </si>
  <si>
    <r>
      <t>12. งานพื้นทาง</t>
    </r>
    <r>
      <rPr>
        <b/>
        <sz val="14"/>
        <color indexed="10"/>
        <rFont val="TH SarabunPSK"/>
        <family val="2"/>
      </rPr>
      <t xml:space="preserve"> ( หินคลุกบดอัดแน่น )</t>
    </r>
  </si>
  <si>
    <t>ข้อมูลประกอบแบบรูปรายการ</t>
  </si>
  <si>
    <t xml:space="preserve">   องค์การบริหารส่วนตำบลเพ็กใหญ่ กรมส่งเสริมการปกครองท้องถิ่น  กระทรวงมหาดไทย</t>
  </si>
  <si>
    <t xml:space="preserve">เจ้าของโครงการ       </t>
  </si>
  <si>
    <t xml:space="preserve">สถานที่ตั้ง              </t>
  </si>
  <si>
    <t xml:space="preserve">ระยะทางดำเนินการ     </t>
  </si>
  <si>
    <t xml:space="preserve">ลักษณะสายทางเดิม       </t>
  </si>
  <si>
    <t xml:space="preserve">ผิวจราจรกว้าง             </t>
  </si>
  <si>
    <t xml:space="preserve">   5.2.8 ป้ายจราจรแบบ ต63,ต66 (2 แผ่นป้ายต่อชุด)</t>
  </si>
  <si>
    <t xml:space="preserve">   5.2.27 ป้ายจราจรแบบ บ3-บ55+ต1-ต28,ต31-ต56,ต56-ต60,ต75</t>
  </si>
  <si>
    <t xml:space="preserve">   5.2.27 ป้ายจราจรแบบ บ3-บ55 + ต71-ต73</t>
  </si>
  <si>
    <t>รายละเอียด</t>
  </si>
  <si>
    <t>นายชาญเดช  กองเงิน</t>
  </si>
  <si>
    <t>สรุปแบบรูปรายการงานก่อสร้างทาง</t>
  </si>
  <si>
    <t>บ้านเพ็กใหญ่พัฒนา หมู่ที่ 11 ตำบลเพ็กใหญ่ อำเภอพล จังหวัดขอนแก่น</t>
  </si>
  <si>
    <t>หรือมีพื้นที่ไม่น้อยกว่า 1,340 ตารางเมตร องค์การบริหารส่วนตำบลเพ็กใหญ่ อำเภอพล จังหวัดขอนแก่น</t>
  </si>
  <si>
    <t xml:space="preserve">ถึงบ้านนางละม้าย ทองบัวบาน หมู่ที่ 11 บ้านเพ็กใหญ่พัฒนา ตำบลเพ็กใหญ่ กว้าง 5 เมตร ยาว 268 เมตร หนาเฉลี่ย 0.05 เมตร </t>
  </si>
  <si>
    <t>สายทางหลวงท้องถิ่น หมายเลข ขก.ถ. 166-12 สายจากทางหลวงหมายเลข 2233 ถึงบ้านนางละม้าย ทองบัวบาน</t>
  </si>
  <si>
    <t>พิกัดเริ่มต้น N 15.819972  E 102.576076</t>
  </si>
  <si>
    <t>พิกัดสิ้นสุด N 15.819715  E 102.577380</t>
  </si>
  <si>
    <t xml:space="preserve"> -  Asphaltic Concrete หนา 5 ซม. (ปูบน Prime Coat)</t>
  </si>
  <si>
    <t xml:space="preserve"> -  Asphaltic Concrete หนา 5 ซม. (ปูบน Tack Coat)</t>
  </si>
  <si>
    <t xml:space="preserve">ปรับปรุงถนนคอนกรีตเสริมเหล็กโดยวิธีลาดยางแอสฟัลท์ติกคอนกรีต รหัสทางหลวงท้องถิ่น ขก.ถ. 166-12 สายจากทางหลวงหมายเลข 2233 ถึงบ้านนางละม้าย ทองบัวบาน หมู่ที่ 11 บ้านเพ็กใหญ่พัฒนา </t>
  </si>
  <si>
    <t>ตำบลเพ็กใหญ่ กว้าง 5 เมตร ยาว 268 เมตร หนาเฉลี่ย 0.05 เมตร หรือมีพื้นที่ไม่น้อยกว่า 1,340 ตารางเมตร องค์การบริหารส่วนตำบลเพ็กใหญ่ อำเภอพล จังหวัดขอนแก่น</t>
  </si>
  <si>
    <t xml:space="preserve">ปรับปรุงถนนคอนกรีตเสริมเหล็กโดยวิธีลาดยางแอสฟัลท์ติกคอนกรีต กว้าง 5.00เมตร ยาว 268 เมตร หนาเฉลี่ย 0.05 เมตร หรือมีพื้นที่ดำเนินการไม่น้อยกว่า 951 ตารางเมตร พร้อมติดตั้งป้ายโครงการ </t>
  </si>
  <si>
    <t>30.00 - 30.99 บาท/ลิตร</t>
  </si>
  <si>
    <t>งาน Skin Patch</t>
  </si>
  <si>
    <t>(นายชาญเดช    กองเงิน)</t>
  </si>
  <si>
    <t>จัดทำแบบรูปรายการ</t>
  </si>
  <si>
    <t>..............................................................</t>
  </si>
  <si>
    <t>Skin Patch</t>
  </si>
  <si>
    <t>1. งานติดตั้งป้ายโครงการ</t>
  </si>
  <si>
    <r>
      <t xml:space="preserve"> - เหล็กกลมดำ </t>
    </r>
    <r>
      <rPr>
        <sz val="15"/>
        <rFont val="Tahoma"/>
        <family val="2"/>
      </rPr>
      <t>ø</t>
    </r>
    <r>
      <rPr>
        <sz val="15"/>
        <rFont val="TH SarabunPSK"/>
        <family val="2"/>
      </rPr>
      <t xml:space="preserve"> 2.5'</t>
    </r>
  </si>
  <si>
    <t xml:space="preserve"> - เหล็กกล่อง 1"x1"</t>
  </si>
  <si>
    <t xml:space="preserve"> - แผ่นเหล็กดำ 1.20x2.40 ม.</t>
  </si>
  <si>
    <t xml:space="preserve"> - สีน้ำมัน สีเขียว ขนาด 3.7 ลิตร</t>
  </si>
  <si>
    <t>กระป๋อง</t>
  </si>
  <si>
    <t xml:space="preserve">ปรับปรุงถนนคอนกรีตเสริมเหล็กโดยวิธีลาดยางแอสฟัลท์ติกคอนกรีต รหัสทางหลวงท้องถิ่น ขก.ถ. 166-12 สายจากทางหลวงหมายเลข 2233 </t>
  </si>
  <si>
    <t>หรือมีพื้นที่ดำเนินการไม่น้อยกว่า 951 ตารางเมตร พร้อมติดตั้งป้ายโครงการ</t>
  </si>
  <si>
    <t>ราคา (บาท)</t>
  </si>
  <si>
    <t xml:space="preserve"> 1.1 ป้ายประชาสัมพันธ์โครงการ </t>
  </si>
  <si>
    <t xml:space="preserve"> 1.2 ป้ายโครงการ</t>
  </si>
  <si>
    <t xml:space="preserve">ปรับปรุงถนนคอนกรีตเสริมเหล็กโดยวิธีลาดยางแอสฟัลท์ติกคอนกรีต กว้าง 5.00เมตร ยาว 268 เมตร หนาเฉลี่ย 0.05 เมตร </t>
  </si>
  <si>
    <t xml:space="preserve">    สถานที่ก่อสร้าง </t>
  </si>
  <si>
    <t>หมู่ที่ 11 บ้านเพ็กใหญ่พัฒนา  ต.เพ็กใหญ่ อ.พล จ.ขอนแก่น</t>
  </si>
  <si>
    <t>9. งานแทคโค้ท</t>
  </si>
  <si>
    <t>เหล็กตะแกรงไวร์เมท Ø 4 มม.ตา0.10x0.30 ม.</t>
  </si>
  <si>
    <t xml:space="preserve">แบบกำนดราคากลางงานก่อสร้างทาง </t>
  </si>
  <si>
    <t>ราคายางแอสฟัลต์ (ราคาจากสำนักดัชนีเศรษฐกิจการค้า ณ เดือน เมษายน พ.ศ. 2567)</t>
  </si>
  <si>
    <t>ประธานกรรมการ</t>
  </si>
  <si>
    <t>กรรมการ</t>
  </si>
  <si>
    <t>นายนิรัญ   นาชิต</t>
  </si>
  <si>
    <t>นายมงคล   สุระดนัย</t>
  </si>
  <si>
    <t>เจ้าพนักงานธุรการชำนาญงาน</t>
  </si>
  <si>
    <t>(นายนิรัญ      นาชิต)</t>
  </si>
  <si>
    <t>(นายชาญเดช   กองเงิน)</t>
  </si>
  <si>
    <t>(นายมงคล  สุระดนัย)</t>
  </si>
  <si>
    <t>(นายนิรัญ     นาชิต)</t>
  </si>
  <si>
    <t>นายมงคล    สุระดนัย</t>
  </si>
  <si>
    <t>เจ้าพนักงานธุรการขำนาญงาน</t>
  </si>
  <si>
    <t>ผลรวมค่างานก่อสร้างทาง</t>
  </si>
  <si>
    <t>หน่วยงานเจ้าของโครงการ อบต.เพ็กใหญ่</t>
  </si>
  <si>
    <t>(นายนิรัญ  นาชิต)</t>
  </si>
  <si>
    <t>นายช่างโยธาชำนาญการ</t>
  </si>
  <si>
    <t>(นายมงคล    สุระดนัย)</t>
  </si>
  <si>
    <t xml:space="preserve">โครงการ ปรับปรุงถนนคอนกรีตเสริมเหล็กโดยวิธีลาดยางแอสฟัลท์ติกคอนกรีต รหัสทางหลวงท้องถิ่น ขก.ถ. 166-12 สายจากทางหลวงหมายเลข 2233 </t>
  </si>
  <si>
    <t>สถานที่ก่อสร้าง สายทางหลวงท้องถิ่น หมายเลข ขก.ถ. 166-12 สายจากทางหลวงหมายเลข 2233 ถึงบ้านนางละม้าย ทองบัวบาน บ้านเพ็กใหญ่พัฒนา หมู่ที่ 11</t>
  </si>
  <si>
    <t>ตำบลเพ็กใหญ่ อำเภอพล จังหวัดขอนแก่น</t>
  </si>
  <si>
    <t>วันที่  17  เดือน เมษายน พ.ศ. 2567</t>
  </si>
  <si>
    <t>วันที่ 17 เดือน เมษายน พ.ศ.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</si>
</sst>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0.0000"/>
    <numFmt numFmtId="189" formatCode="0.000"/>
    <numFmt numFmtId="190" formatCode="_-* #,##0.0000_-;\-* #,##0.0000_-;_-* &quot;-&quot;????_-;_-@_-"/>
    <numFmt numFmtId="191" formatCode="#,##0.000"/>
    <numFmt numFmtId="192" formatCode="#,##0.0000"/>
    <numFmt numFmtId="193" formatCode="0.0"/>
    <numFmt numFmtId="194" formatCode="#,##0.00_ ;\-#,##0.00\ "/>
    <numFmt numFmtId="195" formatCode="#,##0.0000_);\(#,##0.0000\)"/>
    <numFmt numFmtId="196" formatCode="0.0%"/>
    <numFmt numFmtId="197" formatCode="_(* #,##0.00_);_(* \(#,##0.00\);_(* &quot; &quot;??_);_(@_)"/>
    <numFmt numFmtId="198" formatCode="#,##0.000_);\(#,##0.000\)"/>
    <numFmt numFmtId="199" formatCode="_-* #,##0_-;\-* #,##0_-;_-* &quot;-&quot;??_-;_-@_-"/>
    <numFmt numFmtId="200" formatCode="0.00000000"/>
    <numFmt numFmtId="201" formatCode="0\+000"/>
    <numFmt numFmtId="202" formatCode="_-* #,##0.0000_-;\-* #,##0.0000_-;_-* &quot;-&quot;??_-;_-@_-"/>
    <numFmt numFmtId="203" formatCode="#,##0.00_ ;[Red]\-#,##0.00\ "/>
    <numFmt numFmtId="204" formatCode="0_ ;\-0\ "/>
    <numFmt numFmtId="205" formatCode="_-* #,##0.00_-;\-* #,##0.00_-;_-* &quot;-&quot;_-;_-@_-"/>
    <numFmt numFmtId="206" formatCode="[$-107041E]d\ mmmm\ yyyy;@"/>
    <numFmt numFmtId="207" formatCode="_-* #,##0.000_-;\-* #,##0.000_-;_-* &quot;-&quot;??_-;_-@_-"/>
    <numFmt numFmtId="208" formatCode="_(* #,##0.000_);_(* \(#,##0.000\);_(* &quot;-&quot;??_);_(@_)"/>
    <numFmt numFmtId="209" formatCode="_(* #,##0_);_(* \(#,##0\);_(* &quot;-&quot;??_);_(@_)"/>
    <numFmt numFmtId="210" formatCode="#,##0.0;\-#,##0.0"/>
    <numFmt numFmtId="211" formatCode="General_)"/>
    <numFmt numFmtId="212" formatCode="#,##0.000000&quot; &quot;"/>
    <numFmt numFmtId="213" formatCode="dd\-mm\-yy"/>
    <numFmt numFmtId="214" formatCode="#,###&quot;   &quot;"/>
    <numFmt numFmtId="215" formatCode="&quot;฿&quot;\t#,##0_);\(&quot;฿&quot;\t#,##0\)"/>
    <numFmt numFmtId="216" formatCode="\t0.00E+00"/>
    <numFmt numFmtId="217" formatCode="#,##0.0_);\(#,##0.0\)"/>
    <numFmt numFmtId="218" formatCode="_(&quot;$&quot;* #,##0.000_);_(&quot;$&quot;* \(#,##0.000\);_(&quot;$&quot;* &quot;-&quot;??_);_(@_)"/>
    <numFmt numFmtId="219" formatCode="0.0&quot;  &quot;"/>
    <numFmt numFmtId="220" formatCode="&quot;ฃ&quot;#,##0;[Red]\-&quot;ฃ&quot;#,##0"/>
    <numFmt numFmtId="221" formatCode="dd\-mmm\-yy_)"/>
    <numFmt numFmtId="222" formatCode="_-* #,##0.00000_-;\-* #,##0.00000_-;_-* &quot;-&quot;?????_-;_-@_-"/>
    <numFmt numFmtId="223" formatCode="m/d/yy\ hh:mm"/>
    <numFmt numFmtId="224" formatCode="_(&quot;$&quot;* #,##0.0000_);_(&quot;$&quot;* \(#,##0.0000\);_(&quot;$&quot;* &quot;-&quot;??_);_(@_)"/>
    <numFmt numFmtId="225" formatCode="&quot;@ &quot;General"/>
    <numFmt numFmtId="226" formatCode="General\:"/>
    <numFmt numFmtId="227" formatCode="00.00"/>
    <numFmt numFmtId="228" formatCode="0.00000"/>
    <numFmt numFmtId="229" formatCode="#,##0.0000;\-#,##0.0000"/>
    <numFmt numFmtId="230" formatCode="_(* #,##0.0000_);_(* \(#,##0.0000\);_(* &quot;-&quot;??_);_(@_)"/>
  </numFmts>
  <fonts count="163">
    <font>
      <sz val="14"/>
      <name val="Cordia New"/>
      <charset val="222"/>
    </font>
    <font>
      <sz val="16"/>
      <color theme="1"/>
      <name val="AngsanaUPC"/>
      <family val="2"/>
      <charset val="222"/>
    </font>
    <font>
      <sz val="14"/>
      <name val="Cordia New"/>
      <family val="2"/>
    </font>
    <font>
      <b/>
      <sz val="14"/>
      <name val="AngsanaUPC"/>
      <family val="1"/>
      <charset val="222"/>
    </font>
    <font>
      <sz val="14"/>
      <name val="AngsanaUPC"/>
      <family val="1"/>
      <charset val="222"/>
    </font>
    <font>
      <sz val="13.5"/>
      <name val="DilleniaUPC"/>
      <family val="1"/>
    </font>
    <font>
      <sz val="10"/>
      <name val="Courier"/>
      <family val="3"/>
    </font>
    <font>
      <sz val="13.5"/>
      <name val="Dilleni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b/>
      <sz val="13.5"/>
      <name val="DilleniaUPC"/>
      <family val="1"/>
      <charset val="222"/>
    </font>
    <font>
      <b/>
      <sz val="13.5"/>
      <name val="DilleniaUPC"/>
      <family val="1"/>
    </font>
    <font>
      <sz val="13"/>
      <name val="DilleniaUPC"/>
      <family val="1"/>
      <charset val="222"/>
    </font>
    <font>
      <sz val="13.5"/>
      <color indexed="8"/>
      <name val="DilleniaUPC"/>
      <family val="1"/>
      <charset val="222"/>
    </font>
    <font>
      <sz val="14"/>
      <name val="DilleniaUPC"/>
      <family val="1"/>
      <charset val="222"/>
    </font>
    <font>
      <sz val="16"/>
      <name val="AngsanaUPC"/>
      <family val="1"/>
      <charset val="222"/>
    </font>
    <font>
      <b/>
      <sz val="13.5"/>
      <color indexed="10"/>
      <name val="DilleniaUPC"/>
      <family val="1"/>
      <charset val="222"/>
    </font>
    <font>
      <b/>
      <sz val="13.5"/>
      <color indexed="52"/>
      <name val="DilleniaUPC"/>
      <family val="1"/>
      <charset val="222"/>
    </font>
    <font>
      <b/>
      <sz val="14"/>
      <color indexed="10"/>
      <name val="DilleniaUPC"/>
      <family val="1"/>
      <charset val="222"/>
    </font>
    <font>
      <sz val="13.5"/>
      <color indexed="10"/>
      <name val="DilleniaUPC"/>
      <family val="1"/>
      <charset val="222"/>
    </font>
    <font>
      <b/>
      <sz val="13.5"/>
      <name val="DilleniaUPC"/>
      <family val="1"/>
    </font>
    <font>
      <sz val="14"/>
      <name val="TH SarabunPSK"/>
      <family val="2"/>
    </font>
    <font>
      <u/>
      <sz val="14"/>
      <name val="TH SarabunPSK"/>
      <family val="2"/>
    </font>
    <font>
      <sz val="12"/>
      <name val="TH SarabunPSK"/>
      <family val="2"/>
    </font>
    <font>
      <sz val="14"/>
      <color theme="0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3.5"/>
      <name val="TH SarabunPSK"/>
      <family val="2"/>
    </font>
    <font>
      <b/>
      <u/>
      <sz val="12"/>
      <name val="TH SarabunPSK"/>
      <family val="2"/>
    </font>
    <font>
      <b/>
      <sz val="14"/>
      <color indexed="10"/>
      <name val="TH SarabunPSK"/>
      <family val="2"/>
    </font>
    <font>
      <sz val="14"/>
      <color indexed="10"/>
      <name val="TH SarabunPSK"/>
      <family val="2"/>
    </font>
    <font>
      <sz val="11"/>
      <name val="TH SarabunPSK"/>
      <family val="2"/>
    </font>
    <font>
      <sz val="13"/>
      <name val="TH SarabunPSK"/>
      <family val="2"/>
    </font>
    <font>
      <b/>
      <sz val="14"/>
      <color theme="0"/>
      <name val="TH SarabunPSK"/>
      <family val="2"/>
    </font>
    <font>
      <b/>
      <sz val="18"/>
      <name val="TH SarabunPSK"/>
      <family val="2"/>
    </font>
    <font>
      <b/>
      <sz val="36"/>
      <name val="TH SarabunPSK"/>
      <family val="2"/>
    </font>
    <font>
      <b/>
      <sz val="20"/>
      <name val="TH SarabunPSK"/>
      <family val="2"/>
    </font>
    <font>
      <sz val="16"/>
      <name val="TH SarabunPSK"/>
      <family val="2"/>
    </font>
    <font>
      <b/>
      <u/>
      <sz val="14"/>
      <name val="TH SarabunPSK"/>
      <family val="2"/>
    </font>
    <font>
      <b/>
      <u/>
      <sz val="16"/>
      <name val="TH SarabunPSK"/>
      <family val="2"/>
    </font>
    <font>
      <sz val="12"/>
      <color indexed="8"/>
      <name val="TH SarabunPSK"/>
      <family val="2"/>
    </font>
    <font>
      <sz val="10"/>
      <name val="Arial"/>
      <family val="2"/>
    </font>
    <font>
      <sz val="10"/>
      <name val="TH SarabunPSK"/>
      <family val="2"/>
    </font>
    <font>
      <b/>
      <sz val="70"/>
      <name val="TH SarabunPSK"/>
      <family val="2"/>
    </font>
    <font>
      <b/>
      <sz val="58"/>
      <name val="TH SarabunPSK"/>
      <family val="2"/>
    </font>
    <font>
      <b/>
      <sz val="26"/>
      <name val="TH SarabunPSK"/>
      <family val="2"/>
    </font>
    <font>
      <b/>
      <sz val="28"/>
      <name val="TH SarabunPSK"/>
      <family val="2"/>
    </font>
    <font>
      <sz val="28"/>
      <name val="TH SarabunPSK"/>
      <family val="2"/>
    </font>
    <font>
      <b/>
      <sz val="48"/>
      <name val="TH SarabunPSK"/>
      <family val="2"/>
    </font>
    <font>
      <b/>
      <sz val="42"/>
      <name val="TH SarabunPSK"/>
      <family val="2"/>
    </font>
    <font>
      <b/>
      <sz val="25"/>
      <name val="TH SarabunPSK"/>
      <family val="2"/>
    </font>
    <font>
      <sz val="25"/>
      <name val="TH SarabunPSK"/>
      <family val="2"/>
    </font>
    <font>
      <sz val="16"/>
      <color indexed="8"/>
      <name val="TH SarabunPSK"/>
      <family val="2"/>
    </font>
    <font>
      <sz val="16"/>
      <color indexed="9"/>
      <name val="TH SarabunPSK"/>
      <family val="2"/>
    </font>
    <font>
      <b/>
      <sz val="30"/>
      <name val="TH SarabunPSK"/>
      <family val="2"/>
    </font>
    <font>
      <sz val="26"/>
      <name val="TH SarabunPSK"/>
      <family val="2"/>
    </font>
    <font>
      <b/>
      <u/>
      <sz val="26"/>
      <name val="TH SarabunPSK"/>
      <family val="2"/>
    </font>
    <font>
      <b/>
      <sz val="13"/>
      <name val="TH SarabunPSK"/>
      <family val="2"/>
    </font>
    <font>
      <b/>
      <u/>
      <sz val="30"/>
      <name val="TH SarabunPSK"/>
      <family val="2"/>
    </font>
    <font>
      <sz val="10"/>
      <name val="Arial"/>
      <family val="2"/>
    </font>
    <font>
      <vertAlign val="subscript"/>
      <sz val="16"/>
      <name val="TH SarabunPSK"/>
      <family val="2"/>
    </font>
    <font>
      <vertAlign val="subscript"/>
      <sz val="14"/>
      <name val="TH SarabunPSK"/>
      <family val="2"/>
    </font>
    <font>
      <u/>
      <sz val="14"/>
      <color theme="0"/>
      <name val="TH SarabunPSK"/>
      <family val="2"/>
    </font>
    <font>
      <b/>
      <sz val="16"/>
      <color theme="0"/>
      <name val="TH SarabunPSK"/>
      <family val="2"/>
    </font>
    <font>
      <sz val="12"/>
      <color theme="0"/>
      <name val="TH SarabunPSK"/>
      <family val="2"/>
    </font>
    <font>
      <sz val="12"/>
      <color indexed="10"/>
      <name val="TH SarabunPSK"/>
      <family val="2"/>
    </font>
    <font>
      <b/>
      <sz val="14"/>
      <color rgb="FFFF0000"/>
      <name val="TH SarabunPSK"/>
      <family val="2"/>
    </font>
    <font>
      <b/>
      <sz val="13"/>
      <color rgb="FFFF0000"/>
      <name val="TH SarabunPSK"/>
      <family val="2"/>
    </font>
    <font>
      <b/>
      <sz val="14"/>
      <color theme="0" tint="-0.499984740745262"/>
      <name val="TH SarabunPSK"/>
      <family val="2"/>
    </font>
    <font>
      <b/>
      <sz val="13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3"/>
      <color theme="0"/>
      <name val="TH SarabunPSK"/>
      <family val="2"/>
    </font>
    <font>
      <b/>
      <u/>
      <sz val="14"/>
      <color rgb="FFFF0000"/>
      <name val="TH SarabunPSK"/>
      <family val="2"/>
    </font>
    <font>
      <b/>
      <u/>
      <sz val="13"/>
      <name val="TH SarabunPSK"/>
      <family val="2"/>
    </font>
    <font>
      <sz val="16"/>
      <color rgb="FFFF0000"/>
      <name val="AngsanaUPC"/>
      <family val="1"/>
      <charset val="222"/>
    </font>
    <font>
      <b/>
      <sz val="24"/>
      <name val="TH SarabunPSK"/>
      <family val="2"/>
    </font>
    <font>
      <sz val="14"/>
      <name val="AngsanaUPC"/>
      <family val="1"/>
    </font>
    <font>
      <i/>
      <u/>
      <sz val="12"/>
      <name val="TH SarabunPSK"/>
      <family val="2"/>
    </font>
    <font>
      <sz val="12"/>
      <color indexed="12"/>
      <name val="TH SarabunPSK"/>
      <family val="2"/>
    </font>
    <font>
      <b/>
      <sz val="12"/>
      <color indexed="12"/>
      <name val="TH SarabunPSK"/>
      <family val="2"/>
    </font>
    <font>
      <sz val="11"/>
      <color indexed="60"/>
      <name val="TH SarabunPSK"/>
      <family val="2"/>
    </font>
    <font>
      <sz val="11"/>
      <color indexed="60"/>
      <name val="Calibri"/>
      <family val="2"/>
    </font>
    <font>
      <b/>
      <sz val="12"/>
      <color indexed="8"/>
      <name val="TH SarabunPSK"/>
      <family val="2"/>
    </font>
    <font>
      <b/>
      <u/>
      <sz val="12"/>
      <color indexed="18"/>
      <name val="TH SarabunPSK"/>
      <family val="2"/>
    </font>
    <font>
      <sz val="12"/>
      <color indexed="18"/>
      <name val="TH SarabunPSK"/>
      <family val="2"/>
    </font>
    <font>
      <vertAlign val="subscript"/>
      <sz val="12"/>
      <name val="TH SarabunPSK"/>
      <family val="2"/>
    </font>
    <font>
      <sz val="11.5"/>
      <name val="TH SarabunPSK"/>
      <family val="2"/>
    </font>
    <font>
      <b/>
      <sz val="11"/>
      <name val="TH SarabunPSK"/>
      <family val="2"/>
    </font>
    <font>
      <sz val="14"/>
      <name val="SV Rojchana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sz val="16"/>
      <color theme="1"/>
      <name val="AngsanaUPC"/>
      <family val="2"/>
      <charset val="222"/>
    </font>
    <font>
      <sz val="16"/>
      <color theme="0"/>
      <name val="AngsanaUPC"/>
      <family val="2"/>
      <charset val="22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2"/>
      <name val="EucrosiaUPC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7"/>
      <name val="Small Fonts"/>
      <family val="2"/>
    </font>
    <font>
      <sz val="14"/>
      <name val="Cordia New"/>
      <family val="3"/>
    </font>
    <font>
      <b/>
      <i/>
      <sz val="18"/>
      <color indexed="28"/>
      <name val="AngsanaUPC"/>
      <family val="1"/>
    </font>
    <font>
      <b/>
      <sz val="24"/>
      <name val="AngsanaUPC"/>
      <family val="1"/>
      <charset val="222"/>
    </font>
    <font>
      <b/>
      <sz val="16"/>
      <color rgb="FFFA7D00"/>
      <name val="AngsanaUPC"/>
      <family val="2"/>
      <charset val="222"/>
    </font>
    <font>
      <sz val="16"/>
      <color rgb="FFFF0000"/>
      <name val="AngsanaUPC"/>
      <family val="2"/>
      <charset val="222"/>
    </font>
    <font>
      <i/>
      <sz val="16"/>
      <color rgb="FF7F7F7F"/>
      <name val="AngsanaUPC"/>
      <family val="2"/>
      <charset val="222"/>
    </font>
    <font>
      <b/>
      <sz val="16"/>
      <color theme="0"/>
      <name val="AngsanaUPC"/>
      <family val="2"/>
      <charset val="222"/>
    </font>
    <font>
      <sz val="16"/>
      <color rgb="FFFA7D00"/>
      <name val="AngsanaUPC"/>
      <family val="2"/>
      <charset val="222"/>
    </font>
    <font>
      <sz val="16"/>
      <color rgb="FF006100"/>
      <name val="AngsanaUPC"/>
      <family val="2"/>
      <charset val="222"/>
    </font>
    <font>
      <sz val="16"/>
      <color rgb="FF3F3F76"/>
      <name val="AngsanaUPC"/>
      <family val="2"/>
      <charset val="222"/>
    </font>
    <font>
      <sz val="16"/>
      <color rgb="FF9C6500"/>
      <name val="AngsanaUPC"/>
      <family val="2"/>
      <charset val="222"/>
    </font>
    <font>
      <b/>
      <sz val="16"/>
      <color theme="1"/>
      <name val="AngsanaUPC"/>
      <family val="2"/>
      <charset val="222"/>
    </font>
    <font>
      <sz val="16"/>
      <color rgb="FF9C0006"/>
      <name val="AngsanaUPC"/>
      <family val="2"/>
      <charset val="222"/>
    </font>
    <font>
      <b/>
      <sz val="16"/>
      <color rgb="FF3F3F3F"/>
      <name val="AngsanaUPC"/>
      <family val="2"/>
      <charset val="222"/>
    </font>
    <font>
      <b/>
      <sz val="15"/>
      <color theme="3"/>
      <name val="AngsanaUPC"/>
      <family val="2"/>
      <charset val="222"/>
    </font>
    <font>
      <b/>
      <sz val="13"/>
      <color theme="3"/>
      <name val="AngsanaUPC"/>
      <family val="2"/>
      <charset val="222"/>
    </font>
    <font>
      <b/>
      <sz val="11"/>
      <color theme="3"/>
      <name val="AngsanaUPC"/>
      <family val="2"/>
      <charset val="222"/>
    </font>
    <font>
      <sz val="16"/>
      <color theme="0"/>
      <name val="TH SarabunPSK"/>
      <family val="2"/>
    </font>
    <font>
      <sz val="10"/>
      <color theme="0"/>
      <name val="TH SarabunPSK"/>
      <family val="2"/>
    </font>
    <font>
      <sz val="16.100000000000001"/>
      <name val="TH SarabunPSK"/>
      <family val="2"/>
    </font>
    <font>
      <b/>
      <sz val="16"/>
      <name val="Cordia New"/>
      <family val="2"/>
    </font>
    <font>
      <b/>
      <sz val="16"/>
      <color rgb="FFFF0000"/>
      <name val="Cordia New"/>
      <family val="2"/>
    </font>
    <font>
      <sz val="15"/>
      <name val="TH SarabunPSK"/>
      <family val="2"/>
    </font>
    <font>
      <sz val="14"/>
      <name val="CordiaUPC"/>
      <family val="2"/>
      <charset val="222"/>
    </font>
    <font>
      <b/>
      <sz val="14"/>
      <name val="Cordia New"/>
      <family val="2"/>
    </font>
    <font>
      <sz val="14"/>
      <name val="Angsana New"/>
      <family val="1"/>
    </font>
    <font>
      <b/>
      <sz val="16"/>
      <color indexed="12"/>
      <name val="TH SarabunPSK"/>
      <family val="2"/>
    </font>
    <font>
      <b/>
      <sz val="14"/>
      <color indexed="12"/>
      <name val="TH SarabunPSK"/>
      <family val="2"/>
    </font>
    <font>
      <sz val="16"/>
      <name val="JasmineUPC"/>
      <family val="1"/>
    </font>
    <font>
      <b/>
      <sz val="16"/>
      <color indexed="8"/>
      <name val="TH SarabunPSK"/>
      <family val="2"/>
    </font>
    <font>
      <sz val="16"/>
      <color indexed="14"/>
      <name val="TH SarabunPSK"/>
      <family val="2"/>
    </font>
    <font>
      <sz val="14"/>
      <color indexed="14"/>
      <name val="Angsana New"/>
      <family val="1"/>
    </font>
    <font>
      <sz val="16"/>
      <color theme="1"/>
      <name val="TH SarabunPSK"/>
      <family val="2"/>
      <charset val="222"/>
    </font>
    <font>
      <sz val="14"/>
      <color rgb="FFFF0000"/>
      <name val="Cordia New"/>
      <family val="2"/>
    </font>
    <font>
      <sz val="14"/>
      <color indexed="8"/>
      <name val="TH SarabunPSK"/>
      <family val="2"/>
    </font>
    <font>
      <sz val="14"/>
      <color indexed="12"/>
      <name val="TH SarabunPSK"/>
      <family val="2"/>
    </font>
    <font>
      <b/>
      <sz val="14"/>
      <color theme="1"/>
      <name val="TH SarabunPSK"/>
      <family val="2"/>
    </font>
    <font>
      <sz val="13"/>
      <color theme="1"/>
      <name val="TH SarabunPSK"/>
      <family val="2"/>
    </font>
    <font>
      <sz val="13"/>
      <color indexed="8"/>
      <name val="TH SarabunPSK"/>
      <family val="2"/>
    </font>
    <font>
      <sz val="13.5"/>
      <color rgb="FF00B0F0"/>
      <name val="DilleniaUPC"/>
      <family val="1"/>
      <charset val="222"/>
    </font>
    <font>
      <sz val="16"/>
      <name val="Cordia New"/>
      <family val="2"/>
    </font>
    <font>
      <b/>
      <sz val="16"/>
      <color rgb="FF0000FF"/>
      <name val="CordiaUPC"/>
      <family val="1"/>
      <charset val="66"/>
    </font>
    <font>
      <sz val="14"/>
      <color theme="1"/>
      <name val="TH SarabunPSK"/>
      <family val="2"/>
    </font>
    <font>
      <b/>
      <sz val="14"/>
      <color indexed="9"/>
      <name val="TH SarabunPSK"/>
      <family val="2"/>
    </font>
    <font>
      <b/>
      <sz val="14"/>
      <color indexed="13"/>
      <name val="TH SarabunPSK"/>
      <family val="2"/>
    </font>
    <font>
      <u/>
      <sz val="14"/>
      <color theme="1"/>
      <name val="TH SarabunPSK"/>
      <family val="2"/>
    </font>
    <font>
      <sz val="14"/>
      <color indexed="18"/>
      <name val="TH SarabunPSK"/>
      <family val="2"/>
    </font>
    <font>
      <u/>
      <sz val="15"/>
      <color rgb="FFFF0000"/>
      <name val="TH SarabunPSK"/>
      <family val="2"/>
    </font>
    <font>
      <sz val="15"/>
      <color theme="0"/>
      <name val="TH SarabunPSK"/>
      <family val="2"/>
    </font>
    <font>
      <b/>
      <sz val="15"/>
      <name val="TH SarabunPSK"/>
      <family val="2"/>
    </font>
    <font>
      <b/>
      <u/>
      <sz val="15"/>
      <name val="TH SarabunPSK"/>
      <family val="2"/>
    </font>
    <font>
      <sz val="15"/>
      <color indexed="10"/>
      <name val="TH SarabunPSK"/>
      <family val="2"/>
    </font>
    <font>
      <b/>
      <sz val="15"/>
      <color indexed="10"/>
      <name val="TH SarabunPSK"/>
      <family val="2"/>
    </font>
    <font>
      <u/>
      <sz val="15"/>
      <name val="TH SarabunPSK"/>
      <family val="2"/>
    </font>
    <font>
      <sz val="8"/>
      <name val="Cordia New"/>
      <charset val="222"/>
    </font>
    <font>
      <sz val="15"/>
      <name val="TH SarabunPSK"/>
      <family val="2"/>
      <charset val="222"/>
    </font>
    <font>
      <sz val="15"/>
      <name val="Tahoma"/>
      <family val="2"/>
    </font>
    <font>
      <sz val="14"/>
      <color theme="1"/>
      <name val="TH SarabunPSK"/>
      <family val="2"/>
      <charset val="222"/>
    </font>
  </fonts>
  <fills count="6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F2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22"/>
      </bottom>
      <diagonal/>
    </border>
    <border>
      <left style="medium">
        <color indexed="64"/>
      </left>
      <right style="thin">
        <color indexed="64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medium">
        <color indexed="64"/>
      </right>
      <top style="hair">
        <color indexed="22"/>
      </top>
      <bottom/>
      <diagonal/>
    </border>
    <border>
      <left style="medium">
        <color indexed="64"/>
      </left>
      <right style="thin">
        <color indexed="64"/>
      </right>
      <top style="hair">
        <color indexed="22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/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/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59">
    <xf numFmtId="0" fontId="0" fillId="0" borderId="0"/>
    <xf numFmtId="43" fontId="2" fillId="0" borderId="0" applyFont="0" applyFill="0" applyBorder="0" applyAlignment="0" applyProtection="0"/>
    <xf numFmtId="39" fontId="6" fillId="0" borderId="0"/>
    <xf numFmtId="4" fontId="2" fillId="0" borderId="0"/>
    <xf numFmtId="0" fontId="2" fillId="0" borderId="0"/>
    <xf numFmtId="0" fontId="42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2" fillId="0" borderId="0"/>
    <xf numFmtId="0" fontId="2" fillId="0" borderId="0"/>
    <xf numFmtId="0" fontId="77" fillId="0" borderId="0"/>
    <xf numFmtId="188" fontId="4" fillId="0" borderId="0" applyFont="0" applyFill="0" applyBorder="0" applyAlignment="0" applyProtection="0"/>
    <xf numFmtId="39" fontId="6" fillId="0" borderId="0"/>
    <xf numFmtId="0" fontId="2" fillId="0" borderId="0"/>
    <xf numFmtId="0" fontId="89" fillId="0" borderId="0">
      <alignment vertical="center"/>
    </xf>
    <xf numFmtId="211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4" fontId="90" fillId="0" borderId="0" applyFont="0" applyFill="0" applyBorder="0" applyAlignment="0" applyProtection="0"/>
    <xf numFmtId="215" fontId="91" fillId="0" borderId="0" applyFont="0" applyFill="0" applyBorder="0" applyAlignment="0" applyProtection="0"/>
    <xf numFmtId="216" fontId="91" fillId="0" borderId="0" applyFont="0" applyFill="0" applyBorder="0" applyAlignment="0" applyProtection="0"/>
    <xf numFmtId="214" fontId="4" fillId="0" borderId="0" applyFont="0" applyFill="0" applyBorder="0" applyAlignment="0" applyProtection="0"/>
    <xf numFmtId="38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3" fillId="0" borderId="0"/>
    <xf numFmtId="0" fontId="94" fillId="0" borderId="0"/>
    <xf numFmtId="9" fontId="42" fillId="54" borderId="0"/>
    <xf numFmtId="0" fontId="95" fillId="27" borderId="0" applyNumberFormat="0" applyBorder="0" applyAlignment="0" applyProtection="0"/>
    <xf numFmtId="0" fontId="95" fillId="31" borderId="0" applyNumberFormat="0" applyBorder="0" applyAlignment="0" applyProtection="0"/>
    <xf numFmtId="0" fontId="95" fillId="35" borderId="0" applyNumberFormat="0" applyBorder="0" applyAlignment="0" applyProtection="0"/>
    <xf numFmtId="0" fontId="95" fillId="39" borderId="0" applyNumberFormat="0" applyBorder="0" applyAlignment="0" applyProtection="0"/>
    <xf numFmtId="0" fontId="95" fillId="43" borderId="0" applyNumberFormat="0" applyBorder="0" applyAlignment="0" applyProtection="0"/>
    <xf numFmtId="0" fontId="95" fillId="47" borderId="0" applyNumberFormat="0" applyBorder="0" applyAlignment="0" applyProtection="0"/>
    <xf numFmtId="0" fontId="95" fillId="28" borderId="0" applyNumberFormat="0" applyBorder="0" applyAlignment="0" applyProtection="0"/>
    <xf numFmtId="0" fontId="95" fillId="32" borderId="0" applyNumberFormat="0" applyBorder="0" applyAlignment="0" applyProtection="0"/>
    <xf numFmtId="0" fontId="95" fillId="36" borderId="0" applyNumberFormat="0" applyBorder="0" applyAlignment="0" applyProtection="0"/>
    <xf numFmtId="0" fontId="95" fillId="40" borderId="0" applyNumberFormat="0" applyBorder="0" applyAlignment="0" applyProtection="0"/>
    <xf numFmtId="0" fontId="95" fillId="44" borderId="0" applyNumberFormat="0" applyBorder="0" applyAlignment="0" applyProtection="0"/>
    <xf numFmtId="0" fontId="95" fillId="48" borderId="0" applyNumberFormat="0" applyBorder="0" applyAlignment="0" applyProtection="0"/>
    <xf numFmtId="0" fontId="96" fillId="29" borderId="0" applyNumberFormat="0" applyBorder="0" applyAlignment="0" applyProtection="0"/>
    <xf numFmtId="0" fontId="96" fillId="33" borderId="0" applyNumberFormat="0" applyBorder="0" applyAlignment="0" applyProtection="0"/>
    <xf numFmtId="0" fontId="96" fillId="37" borderId="0" applyNumberFormat="0" applyBorder="0" applyAlignment="0" applyProtection="0"/>
    <xf numFmtId="0" fontId="96" fillId="41" borderId="0" applyNumberFormat="0" applyBorder="0" applyAlignment="0" applyProtection="0"/>
    <xf numFmtId="0" fontId="96" fillId="45" borderId="0" applyNumberFormat="0" applyBorder="0" applyAlignment="0" applyProtection="0"/>
    <xf numFmtId="0" fontId="96" fillId="49" borderId="0" applyNumberFormat="0" applyBorder="0" applyAlignment="0" applyProtection="0"/>
    <xf numFmtId="0" fontId="97" fillId="55" borderId="28">
      <alignment horizontal="centerContinuous" vertical="top"/>
    </xf>
    <xf numFmtId="0" fontId="42" fillId="0" borderId="0" applyFill="0" applyBorder="0" applyAlignment="0"/>
    <xf numFmtId="217" fontId="90" fillId="0" borderId="0" applyFill="0" applyBorder="0" applyAlignment="0"/>
    <xf numFmtId="0" fontId="98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218" fontId="4" fillId="0" borderId="0" applyFill="0" applyBorder="0" applyAlignment="0"/>
    <xf numFmtId="219" fontId="91" fillId="0" borderId="0" applyFill="0" applyBorder="0" applyAlignment="0"/>
    <xf numFmtId="217" fontId="90" fillId="0" borderId="0" applyFill="0" applyBorder="0" applyAlignment="0"/>
    <xf numFmtId="218" fontId="4" fillId="0" borderId="0" applyFont="0" applyFill="0" applyBorder="0" applyAlignment="0" applyProtection="0"/>
    <xf numFmtId="220" fontId="100" fillId="0" borderId="0"/>
    <xf numFmtId="0" fontId="97" fillId="55" borderId="28">
      <alignment horizontal="centerContinuous" vertical="top"/>
    </xf>
    <xf numFmtId="217" fontId="90" fillId="0" borderId="0" applyFont="0" applyFill="0" applyBorder="0" applyAlignment="0" applyProtection="0"/>
    <xf numFmtId="221" fontId="77" fillId="0" borderId="0"/>
    <xf numFmtId="14" fontId="101" fillId="0" borderId="0" applyFill="0" applyBorder="0" applyAlignment="0"/>
    <xf numFmtId="15" fontId="3" fillId="56" borderId="0">
      <alignment horizontal="centerContinuous"/>
    </xf>
    <xf numFmtId="196" fontId="77" fillId="0" borderId="0"/>
    <xf numFmtId="218" fontId="4" fillId="0" borderId="0" applyFill="0" applyBorder="0" applyAlignment="0"/>
    <xf numFmtId="217" fontId="90" fillId="0" borderId="0" applyFill="0" applyBorder="0" applyAlignment="0"/>
    <xf numFmtId="218" fontId="4" fillId="0" borderId="0" applyFill="0" applyBorder="0" applyAlignment="0"/>
    <xf numFmtId="219" fontId="91" fillId="0" borderId="0" applyFill="0" applyBorder="0" applyAlignment="0"/>
    <xf numFmtId="217" fontId="90" fillId="0" borderId="0" applyFill="0" applyBorder="0" applyAlignment="0"/>
    <xf numFmtId="38" fontId="102" fillId="55" borderId="0" applyNumberFormat="0" applyBorder="0" applyAlignment="0" applyProtection="0"/>
    <xf numFmtId="0" fontId="103" fillId="0" borderId="67" applyNumberFormat="0" applyAlignment="0" applyProtection="0">
      <alignment horizontal="left" vertical="center"/>
    </xf>
    <xf numFmtId="0" fontId="103" fillId="0" borderId="13">
      <alignment horizontal="left" vertical="center"/>
    </xf>
    <xf numFmtId="10" fontId="102" fillId="57" borderId="16" applyNumberFormat="0" applyBorder="0" applyAlignment="0" applyProtection="0"/>
    <xf numFmtId="218" fontId="4" fillId="0" borderId="0" applyFill="0" applyBorder="0" applyAlignment="0"/>
    <xf numFmtId="217" fontId="90" fillId="0" borderId="0" applyFill="0" applyBorder="0" applyAlignment="0"/>
    <xf numFmtId="218" fontId="4" fillId="0" borderId="0" applyFill="0" applyBorder="0" applyAlignment="0"/>
    <xf numFmtId="219" fontId="91" fillId="0" borderId="0" applyFill="0" applyBorder="0" applyAlignment="0"/>
    <xf numFmtId="217" fontId="90" fillId="0" borderId="0" applyFill="0" applyBorder="0" applyAlignment="0"/>
    <xf numFmtId="37" fontId="104" fillId="0" borderId="0"/>
    <xf numFmtId="222" fontId="4" fillId="0" borderId="0"/>
    <xf numFmtId="0" fontId="77" fillId="0" borderId="0"/>
    <xf numFmtId="0" fontId="4" fillId="0" borderId="0"/>
    <xf numFmtId="0" fontId="4" fillId="0" borderId="0"/>
    <xf numFmtId="0" fontId="105" fillId="0" borderId="0" applyFont="0" applyFill="0" applyBorder="0" applyAlignment="0" applyProtection="0"/>
    <xf numFmtId="218" fontId="4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0" fontId="42" fillId="0" borderId="0" applyFont="0" applyFill="0" applyBorder="0" applyAlignment="0" applyProtection="0"/>
    <xf numFmtId="218" fontId="4" fillId="0" borderId="0" applyFill="0" applyBorder="0" applyAlignment="0"/>
    <xf numFmtId="217" fontId="90" fillId="0" borderId="0" applyFill="0" applyBorder="0" applyAlignment="0"/>
    <xf numFmtId="218" fontId="4" fillId="0" borderId="0" applyFill="0" applyBorder="0" applyAlignment="0"/>
    <xf numFmtId="219" fontId="91" fillId="0" borderId="0" applyFill="0" applyBorder="0" applyAlignment="0"/>
    <xf numFmtId="217" fontId="90" fillId="0" borderId="0" applyFill="0" applyBorder="0" applyAlignment="0"/>
    <xf numFmtId="1" fontId="42" fillId="0" borderId="2" applyNumberFormat="0" applyFill="0" applyAlignment="0" applyProtection="0">
      <alignment horizontal="center" vertical="center"/>
    </xf>
    <xf numFmtId="0" fontId="106" fillId="54" borderId="0"/>
    <xf numFmtId="49" fontId="101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3" fontId="107" fillId="0" borderId="44">
      <alignment horizontal="center"/>
    </xf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108" fillId="23" borderId="115" applyNumberForma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7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1" fillId="24" borderId="118" applyNumberFormat="0" applyAlignment="0" applyProtection="0"/>
    <xf numFmtId="0" fontId="112" fillId="0" borderId="117" applyNumberFormat="0" applyFill="0" applyAlignment="0" applyProtection="0"/>
    <xf numFmtId="0" fontId="113" fillId="19" borderId="0" applyNumberFormat="0" applyBorder="0" applyAlignment="0" applyProtection="0"/>
    <xf numFmtId="0" fontId="77" fillId="0" borderId="0"/>
    <xf numFmtId="0" fontId="77" fillId="0" borderId="0"/>
    <xf numFmtId="0" fontId="114" fillId="22" borderId="115" applyNumberFormat="0" applyAlignment="0" applyProtection="0"/>
    <xf numFmtId="0" fontId="115" fillId="21" borderId="0" applyNumberFormat="0" applyBorder="0" applyAlignment="0" applyProtection="0"/>
    <xf numFmtId="9" fontId="4" fillId="0" borderId="0" applyFont="0" applyFill="0" applyBorder="0" applyAlignment="0" applyProtection="0"/>
    <xf numFmtId="0" fontId="116" fillId="0" borderId="120" applyNumberFormat="0" applyFill="0" applyAlignment="0" applyProtection="0"/>
    <xf numFmtId="0" fontId="117" fillId="20" borderId="0" applyNumberFormat="0" applyBorder="0" applyAlignment="0" applyProtection="0"/>
    <xf numFmtId="0" fontId="96" fillId="26" borderId="0" applyNumberFormat="0" applyBorder="0" applyAlignment="0" applyProtection="0"/>
    <xf numFmtId="0" fontId="96" fillId="30" borderId="0" applyNumberFormat="0" applyBorder="0" applyAlignment="0" applyProtection="0"/>
    <xf numFmtId="0" fontId="96" fillId="34" borderId="0" applyNumberFormat="0" applyBorder="0" applyAlignment="0" applyProtection="0"/>
    <xf numFmtId="0" fontId="96" fillId="38" borderId="0" applyNumberFormat="0" applyBorder="0" applyAlignment="0" applyProtection="0"/>
    <xf numFmtId="0" fontId="96" fillId="42" borderId="0" applyNumberFormat="0" applyBorder="0" applyAlignment="0" applyProtection="0"/>
    <xf numFmtId="0" fontId="96" fillId="46" borderId="0" applyNumberFormat="0" applyBorder="0" applyAlignment="0" applyProtection="0"/>
    <xf numFmtId="0" fontId="118" fillId="23" borderId="116" applyNumberFormat="0" applyAlignment="0" applyProtection="0"/>
    <xf numFmtId="0" fontId="95" fillId="25" borderId="119" applyNumberFormat="0" applyFont="0" applyAlignment="0" applyProtection="0"/>
    <xf numFmtId="0" fontId="119" fillId="0" borderId="112" applyNumberFormat="0" applyFill="0" applyAlignment="0" applyProtection="0"/>
    <xf numFmtId="0" fontId="120" fillId="0" borderId="113" applyNumberFormat="0" applyFill="0" applyAlignment="0" applyProtection="0"/>
    <xf numFmtId="0" fontId="121" fillId="0" borderId="114" applyNumberFormat="0" applyFill="0" applyAlignment="0" applyProtection="0"/>
    <xf numFmtId="0" fontId="121" fillId="0" borderId="0" applyNumberFormat="0" applyFill="0" applyBorder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" fillId="0" borderId="0" applyNumberFormat="0"/>
    <xf numFmtId="188" fontId="4" fillId="0" borderId="0" applyFont="0" applyFill="0" applyBorder="0" applyAlignment="0" applyProtection="0"/>
    <xf numFmtId="0" fontId="2" fillId="0" borderId="0"/>
    <xf numFmtId="0" fontId="137" fillId="0" borderId="0"/>
    <xf numFmtId="187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5" borderId="119" applyNumberFormat="0" applyFont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188">
    <xf numFmtId="0" fontId="0" fillId="0" borderId="0" xfId="0"/>
    <xf numFmtId="0" fontId="4" fillId="0" borderId="0" xfId="0" applyFont="1"/>
    <xf numFmtId="39" fontId="4" fillId="0" borderId="0" xfId="2" applyFont="1"/>
    <xf numFmtId="1" fontId="7" fillId="0" borderId="3" xfId="2" applyNumberFormat="1" applyFont="1" applyBorder="1" applyAlignment="1">
      <alignment horizontal="center"/>
    </xf>
    <xf numFmtId="39" fontId="7" fillId="0" borderId="4" xfId="2" applyFont="1" applyBorder="1" applyAlignment="1">
      <alignment horizontal="center"/>
    </xf>
    <xf numFmtId="39" fontId="7" fillId="0" borderId="5" xfId="2" applyFont="1" applyBorder="1" applyAlignment="1">
      <alignment horizontal="center"/>
    </xf>
    <xf numFmtId="1" fontId="7" fillId="0" borderId="6" xfId="2" applyNumberFormat="1" applyFont="1" applyBorder="1" applyAlignment="1">
      <alignment horizontal="center"/>
    </xf>
    <xf numFmtId="39" fontId="7" fillId="0" borderId="7" xfId="2" applyFont="1" applyBorder="1" applyAlignment="1">
      <alignment horizontal="center"/>
    </xf>
    <xf numFmtId="0" fontId="7" fillId="0" borderId="0" xfId="0" applyFont="1"/>
    <xf numFmtId="0" fontId="7" fillId="0" borderId="2" xfId="0" applyFont="1" applyBorder="1" applyAlignment="1">
      <alignment horizontal="center"/>
    </xf>
    <xf numFmtId="39" fontId="7" fillId="0" borderId="0" xfId="2" applyFont="1" applyAlignment="1">
      <alignment horizontal="left"/>
    </xf>
    <xf numFmtId="39" fontId="7" fillId="0" borderId="10" xfId="2" applyFont="1" applyBorder="1" applyAlignment="1">
      <alignment horizontal="center"/>
    </xf>
    <xf numFmtId="39" fontId="7" fillId="0" borderId="11" xfId="2" applyFont="1" applyBorder="1" applyAlignment="1">
      <alignment horizontal="center"/>
    </xf>
    <xf numFmtId="39" fontId="7" fillId="0" borderId="12" xfId="2" applyFont="1" applyBorder="1" applyAlignment="1">
      <alignment horizontal="center"/>
    </xf>
    <xf numFmtId="2" fontId="7" fillId="0" borderId="13" xfId="2" applyNumberFormat="1" applyFont="1" applyBorder="1" applyAlignment="1">
      <alignment horizontal="centerContinuous"/>
    </xf>
    <xf numFmtId="2" fontId="7" fillId="0" borderId="12" xfId="2" applyNumberFormat="1" applyFont="1" applyBorder="1" applyAlignment="1">
      <alignment horizontal="centerContinuous"/>
    </xf>
    <xf numFmtId="2" fontId="10" fillId="0" borderId="10" xfId="2" applyNumberFormat="1" applyFont="1" applyBorder="1" applyAlignment="1" applyProtection="1">
      <alignment horizontal="center"/>
    </xf>
    <xf numFmtId="2" fontId="10" fillId="0" borderId="14" xfId="2" applyNumberFormat="1" applyFont="1" applyBorder="1" applyAlignment="1" applyProtection="1">
      <alignment horizontal="center"/>
    </xf>
    <xf numFmtId="2" fontId="10" fillId="0" borderId="14" xfId="2" applyNumberFormat="1" applyFont="1" applyBorder="1" applyAlignment="1">
      <alignment horizontal="center"/>
    </xf>
    <xf numFmtId="2" fontId="10" fillId="0" borderId="15" xfId="2" applyNumberFormat="1" applyFont="1" applyBorder="1" applyAlignment="1" applyProtection="1">
      <alignment horizontal="center"/>
    </xf>
    <xf numFmtId="0" fontId="7" fillId="0" borderId="15" xfId="0" applyFont="1" applyBorder="1"/>
    <xf numFmtId="39" fontId="10" fillId="0" borderId="2" xfId="2" applyNumberFormat="1" applyFont="1" applyBorder="1" applyProtection="1"/>
    <xf numFmtId="39" fontId="7" fillId="0" borderId="2" xfId="2" applyNumberFormat="1" applyFont="1" applyBorder="1" applyProtection="1"/>
    <xf numFmtId="39" fontId="8" fillId="0" borderId="2" xfId="2" applyNumberFormat="1" applyFont="1" applyBorder="1" applyAlignment="1" applyProtection="1">
      <alignment horizontal="center"/>
    </xf>
    <xf numFmtId="39" fontId="7" fillId="0" borderId="2" xfId="2" applyFont="1" applyBorder="1"/>
    <xf numFmtId="39" fontId="10" fillId="0" borderId="2" xfId="2" applyFont="1" applyBorder="1"/>
    <xf numFmtId="39" fontId="8" fillId="0" borderId="2" xfId="2" applyFont="1" applyBorder="1"/>
    <xf numFmtId="39" fontId="8" fillId="0" borderId="2" xfId="2" applyFont="1" applyBorder="1" applyAlignment="1">
      <alignment horizontal="center"/>
    </xf>
    <xf numFmtId="39" fontId="7" fillId="0" borderId="2" xfId="2" applyFont="1" applyBorder="1" applyAlignment="1"/>
    <xf numFmtId="39" fontId="7" fillId="0" borderId="15" xfId="2" applyFont="1" applyBorder="1"/>
    <xf numFmtId="0" fontId="7" fillId="0" borderId="10" xfId="0" applyFont="1" applyBorder="1"/>
    <xf numFmtId="187" fontId="7" fillId="0" borderId="2" xfId="2" applyNumberFormat="1" applyFont="1" applyBorder="1" applyAlignment="1">
      <alignment horizontal="center"/>
    </xf>
    <xf numFmtId="187" fontId="10" fillId="0" borderId="2" xfId="2" applyNumberFormat="1" applyFont="1" applyBorder="1" applyAlignment="1" applyProtection="1">
      <alignment horizontal="center"/>
    </xf>
    <xf numFmtId="39" fontId="7" fillId="0" borderId="2" xfId="2" applyFont="1" applyBorder="1" applyAlignment="1">
      <alignment horizontal="center"/>
    </xf>
    <xf numFmtId="39" fontId="7" fillId="0" borderId="0" xfId="2" applyFont="1"/>
    <xf numFmtId="2" fontId="7" fillId="0" borderId="0" xfId="2" applyNumberFormat="1" applyFont="1" applyAlignment="1">
      <alignment horizontal="centerContinuous"/>
    </xf>
    <xf numFmtId="39" fontId="7" fillId="0" borderId="16" xfId="2" applyFont="1" applyBorder="1" applyAlignment="1">
      <alignment horizontal="center"/>
    </xf>
    <xf numFmtId="2" fontId="7" fillId="0" borderId="17" xfId="2" applyNumberFormat="1" applyFont="1" applyBorder="1" applyAlignment="1">
      <alignment horizontal="center"/>
    </xf>
    <xf numFmtId="39" fontId="7" fillId="0" borderId="15" xfId="2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39" fontId="11" fillId="2" borderId="0" xfId="2" applyFont="1" applyFill="1" applyBorder="1" applyAlignment="1">
      <alignment horizontal="centerContinuous"/>
    </xf>
    <xf numFmtId="39" fontId="6" fillId="2" borderId="0" xfId="2" applyFill="1" applyAlignment="1">
      <alignment horizontal="centerContinuous"/>
    </xf>
    <xf numFmtId="39" fontId="6" fillId="0" borderId="0" xfId="2"/>
    <xf numFmtId="39" fontId="7" fillId="0" borderId="0" xfId="2" applyFont="1" applyFill="1"/>
    <xf numFmtId="0" fontId="12" fillId="0" borderId="0" xfId="0" applyFont="1"/>
    <xf numFmtId="39" fontId="7" fillId="0" borderId="3" xfId="2" applyFont="1" applyBorder="1" applyAlignment="1">
      <alignment horizontal="center"/>
    </xf>
    <xf numFmtId="39" fontId="7" fillId="0" borderId="6" xfId="2" applyFont="1" applyBorder="1" applyAlignment="1">
      <alignment horizontal="center"/>
    </xf>
    <xf numFmtId="39" fontId="7" fillId="0" borderId="7" xfId="2" applyFont="1" applyFill="1" applyBorder="1" applyAlignment="1">
      <alignment horizontal="center"/>
    </xf>
    <xf numFmtId="39" fontId="7" fillId="0" borderId="1" xfId="2" applyFont="1" applyBorder="1" applyAlignment="1">
      <alignment horizontal="center"/>
    </xf>
    <xf numFmtId="39" fontId="7" fillId="0" borderId="17" xfId="2" applyFont="1" applyBorder="1" applyAlignment="1">
      <alignment horizontal="center"/>
    </xf>
    <xf numFmtId="195" fontId="7" fillId="0" borderId="17" xfId="2" applyNumberFormat="1" applyFont="1" applyBorder="1" applyAlignment="1">
      <alignment horizontal="center"/>
    </xf>
    <xf numFmtId="188" fontId="10" fillId="0" borderId="9" xfId="0" applyNumberFormat="1" applyFont="1" applyFill="1" applyBorder="1" applyAlignment="1">
      <alignment horizontal="center" vertical="center"/>
    </xf>
    <xf numFmtId="188" fontId="10" fillId="0" borderId="2" xfId="0" applyNumberFormat="1" applyFont="1" applyFill="1" applyBorder="1" applyAlignment="1">
      <alignment horizontal="center" vertical="center"/>
    </xf>
    <xf numFmtId="188" fontId="7" fillId="0" borderId="17" xfId="2" applyNumberFormat="1" applyFont="1" applyBorder="1" applyAlignment="1">
      <alignment horizontal="center"/>
    </xf>
    <xf numFmtId="188" fontId="10" fillId="0" borderId="18" xfId="0" applyNumberFormat="1" applyFont="1" applyFill="1" applyBorder="1" applyAlignment="1">
      <alignment horizontal="center" vertical="center"/>
    </xf>
    <xf numFmtId="188" fontId="7" fillId="0" borderId="7" xfId="2" applyNumberFormat="1" applyFont="1" applyBorder="1" applyAlignment="1">
      <alignment horizontal="center"/>
    </xf>
    <xf numFmtId="195" fontId="7" fillId="0" borderId="18" xfId="2" applyNumberFormat="1" applyFont="1" applyBorder="1" applyAlignment="1">
      <alignment horizontal="center"/>
    </xf>
    <xf numFmtId="39" fontId="7" fillId="0" borderId="19" xfId="2" applyFont="1" applyBorder="1" applyAlignment="1">
      <alignment horizontal="center"/>
    </xf>
    <xf numFmtId="0" fontId="7" fillId="0" borderId="0" xfId="0" applyFont="1" applyBorder="1"/>
    <xf numFmtId="2" fontId="7" fillId="0" borderId="0" xfId="0" applyNumberFormat="1" applyFont="1" applyBorder="1" applyAlignment="1">
      <alignment horizontal="center"/>
    </xf>
    <xf numFmtId="39" fontId="4" fillId="0" borderId="20" xfId="2" applyFont="1" applyBorder="1" applyAlignment="1">
      <alignment horizontal="center"/>
    </xf>
    <xf numFmtId="39" fontId="4" fillId="0" borderId="21" xfId="2" applyFont="1" applyBorder="1" applyAlignment="1">
      <alignment horizontal="center"/>
    </xf>
    <xf numFmtId="1" fontId="3" fillId="0" borderId="21" xfId="2" applyNumberFormat="1" applyFont="1" applyBorder="1" applyAlignment="1">
      <alignment horizontal="center"/>
    </xf>
    <xf numFmtId="1" fontId="3" fillId="0" borderId="22" xfId="2" applyNumberFormat="1" applyFont="1" applyBorder="1" applyAlignment="1">
      <alignment horizontal="center"/>
    </xf>
    <xf numFmtId="39" fontId="4" fillId="0" borderId="3" xfId="2" applyFont="1" applyBorder="1" applyAlignment="1">
      <alignment horizontal="center"/>
    </xf>
    <xf numFmtId="39" fontId="4" fillId="0" borderId="9" xfId="2" applyFont="1" applyBorder="1" applyAlignment="1">
      <alignment horizontal="center"/>
    </xf>
    <xf numFmtId="39" fontId="4" fillId="0" borderId="4" xfId="2" applyFont="1" applyBorder="1" applyAlignment="1">
      <alignment horizontal="center"/>
    </xf>
    <xf numFmtId="39" fontId="4" fillId="0" borderId="6" xfId="2" applyFont="1" applyBorder="1" applyAlignment="1">
      <alignment horizontal="center"/>
    </xf>
    <xf numFmtId="39" fontId="4" fillId="0" borderId="18" xfId="2" applyFont="1" applyBorder="1" applyAlignment="1">
      <alignment horizontal="center"/>
    </xf>
    <xf numFmtId="39" fontId="4" fillId="0" borderId="7" xfId="2" applyFont="1" applyBorder="1" applyAlignment="1">
      <alignment horizontal="center"/>
    </xf>
    <xf numFmtId="39" fontId="7" fillId="0" borderId="0" xfId="2" quotePrefix="1" applyFont="1" applyBorder="1" applyAlignment="1">
      <alignment horizontal="center"/>
    </xf>
    <xf numFmtId="39" fontId="7" fillId="0" borderId="0" xfId="2" applyFont="1" applyBorder="1" applyAlignment="1">
      <alignment horizontal="center"/>
    </xf>
    <xf numFmtId="39" fontId="7" fillId="0" borderId="23" xfId="2" quotePrefix="1" applyFont="1" applyBorder="1" applyAlignment="1">
      <alignment horizontal="center"/>
    </xf>
    <xf numFmtId="194" fontId="7" fillId="0" borderId="19" xfId="0" applyNumberFormat="1" applyFont="1" applyBorder="1" applyAlignment="1">
      <alignment horizontal="center"/>
    </xf>
    <xf numFmtId="194" fontId="7" fillId="0" borderId="24" xfId="0" applyNumberFormat="1" applyFont="1" applyBorder="1" applyAlignment="1">
      <alignment horizontal="center"/>
    </xf>
    <xf numFmtId="194" fontId="7" fillId="0" borderId="23" xfId="0" applyNumberFormat="1" applyFont="1" applyBorder="1" applyAlignment="1">
      <alignment horizontal="center"/>
    </xf>
    <xf numFmtId="39" fontId="4" fillId="0" borderId="9" xfId="2" applyFont="1" applyFill="1" applyBorder="1" applyAlignment="1">
      <alignment horizontal="center"/>
    </xf>
    <xf numFmtId="39" fontId="4" fillId="0" borderId="18" xfId="2" applyFont="1" applyFill="1" applyBorder="1" applyAlignment="1">
      <alignment horizontal="center"/>
    </xf>
    <xf numFmtId="1" fontId="3" fillId="0" borderId="34" xfId="2" applyNumberFormat="1" applyFont="1" applyBorder="1" applyAlignment="1">
      <alignment horizontal="center"/>
    </xf>
    <xf numFmtId="39" fontId="4" fillId="0" borderId="0" xfId="2" applyFont="1" applyFill="1"/>
    <xf numFmtId="0" fontId="4" fillId="0" borderId="0" xfId="0" applyFont="1" applyFill="1"/>
    <xf numFmtId="1" fontId="3" fillId="0" borderId="40" xfId="2" applyNumberFormat="1" applyFont="1" applyBorder="1" applyAlignment="1">
      <alignment horizontal="center"/>
    </xf>
    <xf numFmtId="1" fontId="5" fillId="0" borderId="6" xfId="2" applyNumberFormat="1" applyFont="1" applyBorder="1"/>
    <xf numFmtId="194" fontId="7" fillId="0" borderId="44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9" fontId="7" fillId="0" borderId="9" xfId="2" applyFont="1" applyBorder="1" applyAlignment="1">
      <alignment horizontal="center"/>
    </xf>
    <xf numFmtId="39" fontId="7" fillId="0" borderId="18" xfId="2" applyFont="1" applyBorder="1" applyAlignment="1">
      <alignment horizontal="center"/>
    </xf>
    <xf numFmtId="195" fontId="7" fillId="0" borderId="2" xfId="2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200" fontId="7" fillId="0" borderId="0" xfId="0" applyNumberFormat="1" applyFont="1"/>
    <xf numFmtId="195" fontId="7" fillId="0" borderId="17" xfId="2" applyNumberFormat="1" applyFont="1" applyFill="1" applyBorder="1" applyAlignment="1">
      <alignment horizontal="center"/>
    </xf>
    <xf numFmtId="195" fontId="7" fillId="0" borderId="7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 applyProtection="1">
      <alignment horizontal="center"/>
    </xf>
    <xf numFmtId="0" fontId="7" fillId="0" borderId="29" xfId="0" applyFont="1" applyBorder="1" applyAlignment="1">
      <alignment horizontal="center"/>
    </xf>
    <xf numFmtId="2" fontId="10" fillId="0" borderId="14" xfId="2" applyNumberFormat="1" applyFont="1" applyFill="1" applyBorder="1" applyAlignment="1" applyProtection="1">
      <alignment horizontal="center"/>
    </xf>
    <xf numFmtId="2" fontId="10" fillId="0" borderId="14" xfId="2" applyNumberFormat="1" applyFont="1" applyFill="1" applyBorder="1" applyAlignment="1">
      <alignment horizontal="center"/>
    </xf>
    <xf numFmtId="0" fontId="7" fillId="0" borderId="10" xfId="0" applyFont="1" applyFill="1" applyBorder="1"/>
    <xf numFmtId="187" fontId="7" fillId="0" borderId="2" xfId="2" applyNumberFormat="1" applyFont="1" applyFill="1" applyBorder="1" applyAlignment="1" applyProtection="1"/>
    <xf numFmtId="187" fontId="7" fillId="0" borderId="2" xfId="2" applyNumberFormat="1" applyFont="1" applyFill="1" applyBorder="1" applyAlignment="1"/>
    <xf numFmtId="0" fontId="7" fillId="0" borderId="2" xfId="0" applyFont="1" applyFill="1" applyBorder="1" applyAlignment="1"/>
    <xf numFmtId="2" fontId="7" fillId="0" borderId="2" xfId="2" applyNumberFormat="1" applyFont="1" applyFill="1" applyBorder="1" applyAlignment="1"/>
    <xf numFmtId="0" fontId="7" fillId="0" borderId="29" xfId="0" applyFont="1" applyBorder="1" applyAlignment="1"/>
    <xf numFmtId="2" fontId="7" fillId="0" borderId="29" xfId="0" applyNumberFormat="1" applyFont="1" applyBorder="1" applyAlignment="1">
      <alignment horizontal="center"/>
    </xf>
    <xf numFmtId="1" fontId="15" fillId="0" borderId="51" xfId="2" quotePrefix="1" applyNumberFormat="1" applyFont="1" applyBorder="1" applyAlignment="1"/>
    <xf numFmtId="39" fontId="17" fillId="0" borderId="53" xfId="2" applyFont="1" applyBorder="1" applyAlignment="1"/>
    <xf numFmtId="0" fontId="7" fillId="0" borderId="5" xfId="0" applyFont="1" applyBorder="1"/>
    <xf numFmtId="2" fontId="9" fillId="0" borderId="54" xfId="0" applyNumberFormat="1" applyFont="1" applyBorder="1" applyAlignment="1">
      <alignment horizontal="center"/>
    </xf>
    <xf numFmtId="39" fontId="7" fillId="0" borderId="8" xfId="2" applyFont="1" applyBorder="1" applyAlignment="1">
      <alignment horizontal="center"/>
    </xf>
    <xf numFmtId="1" fontId="10" fillId="0" borderId="53" xfId="2" quotePrefix="1" applyNumberFormat="1" applyFont="1" applyBorder="1" applyAlignment="1"/>
    <xf numFmtId="39" fontId="7" fillId="0" borderId="55" xfId="2" applyFont="1" applyBorder="1" applyAlignment="1"/>
    <xf numFmtId="39" fontId="7" fillId="0" borderId="5" xfId="2" applyFont="1" applyBorder="1" applyAlignment="1"/>
    <xf numFmtId="1" fontId="7" fillId="0" borderId="54" xfId="2" applyNumberFormat="1" applyFont="1" applyBorder="1" applyAlignment="1">
      <alignment horizontal="left"/>
    </xf>
    <xf numFmtId="2" fontId="9" fillId="0" borderId="51" xfId="0" applyNumberFormat="1" applyFont="1" applyBorder="1" applyAlignment="1">
      <alignment horizontal="center"/>
    </xf>
    <xf numFmtId="39" fontId="7" fillId="0" borderId="2" xfId="2" applyFont="1" applyBorder="1" applyAlignment="1" applyProtection="1">
      <alignment horizontal="center"/>
    </xf>
    <xf numFmtId="39" fontId="7" fillId="0" borderId="16" xfId="2" applyFont="1" applyBorder="1" applyAlignment="1">
      <alignment horizontal="centerContinuous"/>
    </xf>
    <xf numFmtId="37" fontId="7" fillId="0" borderId="18" xfId="2" applyNumberFormat="1" applyFont="1" applyBorder="1" applyAlignment="1">
      <alignment horizontal="center"/>
    </xf>
    <xf numFmtId="37" fontId="7" fillId="0" borderId="23" xfId="2" applyNumberFormat="1" applyFont="1" applyBorder="1" applyAlignment="1">
      <alignment horizontal="center"/>
    </xf>
    <xf numFmtId="39" fontId="7" fillId="0" borderId="24" xfId="2" applyFont="1" applyBorder="1" applyAlignment="1">
      <alignment horizontal="center"/>
    </xf>
    <xf numFmtId="198" fontId="7" fillId="0" borderId="1" xfId="2" applyNumberFormat="1" applyFont="1" applyBorder="1" applyAlignment="1">
      <alignment horizontal="center"/>
    </xf>
    <xf numFmtId="195" fontId="7" fillId="0" borderId="1" xfId="2" applyNumberFormat="1" applyFont="1" applyBorder="1" applyAlignment="1">
      <alignment horizontal="center"/>
    </xf>
    <xf numFmtId="195" fontId="7" fillId="0" borderId="24" xfId="2" applyNumberFormat="1" applyFont="1" applyBorder="1" applyAlignment="1">
      <alignment horizontal="center"/>
    </xf>
    <xf numFmtId="195" fontId="13" fillId="6" borderId="1" xfId="2" applyNumberFormat="1" applyFont="1" applyFill="1" applyBorder="1" applyAlignment="1">
      <alignment horizontal="center"/>
    </xf>
    <xf numFmtId="195" fontId="13" fillId="6" borderId="2" xfId="2" applyNumberFormat="1" applyFont="1" applyFill="1" applyBorder="1" applyAlignment="1">
      <alignment horizontal="center"/>
    </xf>
    <xf numFmtId="195" fontId="13" fillId="6" borderId="24" xfId="2" applyNumberFormat="1" applyFont="1" applyFill="1" applyBorder="1" applyAlignment="1">
      <alignment horizontal="center"/>
    </xf>
    <xf numFmtId="195" fontId="13" fillId="0" borderId="1" xfId="2" applyNumberFormat="1" applyFont="1" applyFill="1" applyBorder="1" applyAlignment="1">
      <alignment horizontal="center"/>
    </xf>
    <xf numFmtId="195" fontId="13" fillId="0" borderId="2" xfId="2" applyNumberFormat="1" applyFont="1" applyFill="1" applyBorder="1" applyAlignment="1">
      <alignment horizontal="center"/>
    </xf>
    <xf numFmtId="195" fontId="13" fillId="0" borderId="24" xfId="2" applyNumberFormat="1" applyFont="1" applyFill="1" applyBorder="1" applyAlignment="1">
      <alignment horizontal="center"/>
    </xf>
    <xf numFmtId="39" fontId="7" fillId="0" borderId="1" xfId="2" applyFont="1" applyBorder="1"/>
    <xf numFmtId="39" fontId="7" fillId="0" borderId="24" xfId="2" applyFont="1" applyBorder="1"/>
    <xf numFmtId="39" fontId="7" fillId="0" borderId="6" xfId="2" applyFont="1" applyBorder="1"/>
    <xf numFmtId="39" fontId="7" fillId="0" borderId="18" xfId="2" applyFont="1" applyBorder="1"/>
    <xf numFmtId="39" fontId="7" fillId="0" borderId="23" xfId="2" applyFont="1" applyBorder="1"/>
    <xf numFmtId="39" fontId="7" fillId="0" borderId="17" xfId="2" applyNumberFormat="1" applyFont="1" applyBorder="1" applyAlignment="1">
      <alignment horizontal="center"/>
    </xf>
    <xf numFmtId="39" fontId="7" fillId="0" borderId="18" xfId="2" applyNumberFormat="1" applyFont="1" applyBorder="1" applyAlignment="1">
      <alignment horizontal="center"/>
    </xf>
    <xf numFmtId="39" fontId="18" fillId="0" borderId="0" xfId="2" applyNumberFormat="1" applyFont="1" applyAlignment="1" applyProtection="1">
      <alignment horizontal="left"/>
    </xf>
    <xf numFmtId="0" fontId="7" fillId="0" borderId="2" xfId="0" applyFont="1" applyBorder="1"/>
    <xf numFmtId="2" fontId="7" fillId="0" borderId="2" xfId="0" applyNumberFormat="1" applyFont="1" applyBorder="1"/>
    <xf numFmtId="188" fontId="7" fillId="0" borderId="0" xfId="0" applyNumberFormat="1" applyFont="1"/>
    <xf numFmtId="192" fontId="19" fillId="0" borderId="9" xfId="0" applyNumberFormat="1" applyFont="1" applyFill="1" applyBorder="1" applyAlignment="1">
      <alignment horizontal="center"/>
    </xf>
    <xf numFmtId="188" fontId="19" fillId="0" borderId="19" xfId="0" applyNumberFormat="1" applyFont="1" applyFill="1" applyBorder="1" applyAlignment="1">
      <alignment horizontal="center"/>
    </xf>
    <xf numFmtId="188" fontId="19" fillId="0" borderId="24" xfId="0" applyNumberFormat="1" applyFont="1" applyFill="1" applyBorder="1" applyAlignment="1">
      <alignment horizontal="center"/>
    </xf>
    <xf numFmtId="192" fontId="19" fillId="0" borderId="2" xfId="0" applyNumberFormat="1" applyFont="1" applyFill="1" applyBorder="1" applyAlignment="1">
      <alignment horizontal="center"/>
    </xf>
    <xf numFmtId="192" fontId="19" fillId="0" borderId="18" xfId="0" applyNumberFormat="1" applyFont="1" applyFill="1" applyBorder="1" applyAlignment="1">
      <alignment horizontal="center"/>
    </xf>
    <xf numFmtId="188" fontId="19" fillId="0" borderId="23" xfId="0" applyNumberFormat="1" applyFont="1" applyFill="1" applyBorder="1" applyAlignment="1">
      <alignment horizontal="center"/>
    </xf>
    <xf numFmtId="39" fontId="20" fillId="0" borderId="2" xfId="2" applyFont="1" applyBorder="1"/>
    <xf numFmtId="0" fontId="20" fillId="0" borderId="2" xfId="0" applyFont="1" applyBorder="1"/>
    <xf numFmtId="0" fontId="8" fillId="0" borderId="2" xfId="0" applyFont="1" applyBorder="1"/>
    <xf numFmtId="0" fontId="7" fillId="0" borderId="0" xfId="0" applyFont="1" applyBorder="1" applyAlignment="1"/>
    <xf numFmtId="1" fontId="5" fillId="0" borderId="1" xfId="2" applyNumberFormat="1" applyFont="1" applyBorder="1" applyAlignment="1">
      <alignment horizontal="center"/>
    </xf>
    <xf numFmtId="1" fontId="5" fillId="0" borderId="43" xfId="2" applyNumberFormat="1" applyFont="1" applyBorder="1" applyAlignment="1">
      <alignment horizontal="center"/>
    </xf>
    <xf numFmtId="2" fontId="5" fillId="0" borderId="2" xfId="2" applyNumberFormat="1" applyFont="1" applyBorder="1" applyAlignment="1" applyProtection="1">
      <alignment horizontal="center"/>
    </xf>
    <xf numFmtId="39" fontId="4" fillId="0" borderId="19" xfId="2" applyFont="1" applyFill="1" applyBorder="1" applyAlignment="1">
      <alignment horizontal="center"/>
    </xf>
    <xf numFmtId="39" fontId="4" fillId="0" borderId="23" xfId="2" applyFont="1" applyFill="1" applyBorder="1" applyAlignment="1">
      <alignment horizontal="center"/>
    </xf>
    <xf numFmtId="39" fontId="4" fillId="11" borderId="9" xfId="2" applyFont="1" applyFill="1" applyBorder="1" applyAlignment="1">
      <alignment horizontal="center"/>
    </xf>
    <xf numFmtId="39" fontId="4" fillId="11" borderId="18" xfId="2" applyFont="1" applyFill="1" applyBorder="1" applyAlignment="1">
      <alignment horizontal="center"/>
    </xf>
    <xf numFmtId="0" fontId="14" fillId="12" borderId="67" xfId="0" applyFont="1" applyFill="1" applyBorder="1" applyAlignment="1" applyProtection="1">
      <alignment horizontal="center"/>
    </xf>
    <xf numFmtId="190" fontId="9" fillId="12" borderId="65" xfId="2" applyNumberFormat="1" applyFont="1" applyFill="1" applyBorder="1" applyAlignment="1" applyProtection="1">
      <alignment horizontal="center"/>
    </xf>
    <xf numFmtId="0" fontId="14" fillId="12" borderId="67" xfId="0" applyFont="1" applyFill="1" applyBorder="1" applyAlignment="1" applyProtection="1">
      <alignment horizontal="center"/>
    </xf>
    <xf numFmtId="0" fontId="7" fillId="0" borderId="29" xfId="0" applyFont="1" applyBorder="1" applyAlignment="1">
      <alignment horizontal="center"/>
    </xf>
    <xf numFmtId="0" fontId="21" fillId="0" borderId="0" xfId="0" applyFont="1" applyProtection="1"/>
    <xf numFmtId="0" fontId="21" fillId="0" borderId="0" xfId="0" applyFont="1" applyBorder="1" applyProtection="1"/>
    <xf numFmtId="201" fontId="21" fillId="0" borderId="0" xfId="0" applyNumberFormat="1" applyFont="1" applyBorder="1" applyAlignment="1" applyProtection="1">
      <alignment horizontal="center"/>
    </xf>
    <xf numFmtId="4" fontId="21" fillId="0" borderId="0" xfId="3" applyFont="1" applyProtection="1"/>
    <xf numFmtId="0" fontId="25" fillId="0" borderId="0" xfId="0" applyFont="1" applyProtection="1"/>
    <xf numFmtId="0" fontId="21" fillId="0" borderId="0" xfId="0" applyFont="1" applyFill="1" applyProtection="1"/>
    <xf numFmtId="0" fontId="21" fillId="0" borderId="0" xfId="0" applyFont="1" applyAlignment="1" applyProtection="1">
      <alignment horizontal="left"/>
    </xf>
    <xf numFmtId="0" fontId="25" fillId="0" borderId="0" xfId="0" applyFont="1" applyBorder="1" applyProtection="1"/>
    <xf numFmtId="0" fontId="21" fillId="0" borderId="0" xfId="0" applyFont="1" applyFill="1" applyBorder="1" applyProtection="1"/>
    <xf numFmtId="4" fontId="23" fillId="0" borderId="0" xfId="3" applyFont="1" applyProtection="1"/>
    <xf numFmtId="199" fontId="21" fillId="0" borderId="0" xfId="1" applyNumberFormat="1" applyFont="1" applyProtection="1"/>
    <xf numFmtId="39" fontId="21" fillId="0" borderId="0" xfId="0" applyNumberFormat="1" applyFont="1" applyBorder="1" applyAlignment="1" applyProtection="1">
      <alignment horizontal="left"/>
    </xf>
    <xf numFmtId="39" fontId="21" fillId="0" borderId="0" xfId="0" applyNumberFormat="1" applyFont="1" applyFill="1" applyBorder="1" applyAlignment="1" applyProtection="1">
      <alignment horizontal="left"/>
    </xf>
    <xf numFmtId="0" fontId="22" fillId="0" borderId="0" xfId="0" applyFont="1" applyProtection="1"/>
    <xf numFmtId="0" fontId="43" fillId="0" borderId="53" xfId="5" applyFont="1" applyBorder="1"/>
    <xf numFmtId="0" fontId="43" fillId="0" borderId="55" xfId="5" applyFont="1" applyBorder="1"/>
    <xf numFmtId="0" fontId="43" fillId="0" borderId="5" xfId="5" applyFont="1" applyBorder="1"/>
    <xf numFmtId="0" fontId="43" fillId="0" borderId="0" xfId="5" applyFont="1"/>
    <xf numFmtId="0" fontId="21" fillId="0" borderId="70" xfId="5" applyFont="1" applyBorder="1" applyAlignment="1">
      <alignment horizontal="left" vertical="center"/>
    </xf>
    <xf numFmtId="0" fontId="21" fillId="0" borderId="0" xfId="5" applyFont="1" applyBorder="1" applyAlignment="1">
      <alignment vertical="center"/>
    </xf>
    <xf numFmtId="0" fontId="21" fillId="0" borderId="62" xfId="5" applyFont="1" applyBorder="1" applyAlignment="1">
      <alignment vertical="center"/>
    </xf>
    <xf numFmtId="0" fontId="21" fillId="0" borderId="70" xfId="5" applyFont="1" applyBorder="1" applyAlignment="1">
      <alignment vertical="center"/>
    </xf>
    <xf numFmtId="0" fontId="46" fillId="0" borderId="0" xfId="5" applyFont="1" applyBorder="1" applyAlignment="1">
      <alignment vertical="center" wrapText="1"/>
    </xf>
    <xf numFmtId="0" fontId="47" fillId="0" borderId="0" xfId="5" applyFont="1" applyBorder="1" applyAlignment="1">
      <alignment vertical="center"/>
    </xf>
    <xf numFmtId="0" fontId="48" fillId="0" borderId="0" xfId="5" applyFont="1" applyBorder="1" applyAlignment="1">
      <alignment vertical="center"/>
    </xf>
    <xf numFmtId="0" fontId="36" fillId="0" borderId="0" xfId="5" applyFont="1" applyBorder="1" applyAlignment="1">
      <alignment vertical="center"/>
    </xf>
    <xf numFmtId="0" fontId="43" fillId="0" borderId="0" xfId="5" applyFont="1" applyBorder="1"/>
    <xf numFmtId="0" fontId="49" fillId="0" borderId="62" xfId="5" applyFont="1" applyBorder="1" applyAlignment="1">
      <alignment vertical="center"/>
    </xf>
    <xf numFmtId="0" fontId="47" fillId="0" borderId="0" xfId="5" applyFont="1" applyBorder="1" applyAlignment="1">
      <alignment horizontal="left" vertical="center" wrapText="1"/>
    </xf>
    <xf numFmtId="0" fontId="21" fillId="0" borderId="54" xfId="5" applyFont="1" applyBorder="1" applyAlignment="1">
      <alignment vertical="center"/>
    </xf>
    <xf numFmtId="0" fontId="47" fillId="0" borderId="51" xfId="5" applyFont="1" applyBorder="1" applyAlignment="1">
      <alignment horizontal="left" vertical="center" wrapText="1"/>
    </xf>
    <xf numFmtId="0" fontId="21" fillId="0" borderId="51" xfId="5" applyFont="1" applyBorder="1" applyAlignment="1">
      <alignment vertical="center"/>
    </xf>
    <xf numFmtId="0" fontId="21" fillId="0" borderId="8" xfId="5" applyFont="1" applyBorder="1" applyAlignment="1">
      <alignment vertical="center"/>
    </xf>
    <xf numFmtId="0" fontId="21" fillId="0" borderId="53" xfId="5" applyFont="1" applyBorder="1" applyAlignment="1">
      <alignment vertical="center"/>
    </xf>
    <xf numFmtId="0" fontId="47" fillId="0" borderId="55" xfId="5" applyFont="1" applyBorder="1" applyAlignment="1">
      <alignment horizontal="left" vertical="center" wrapText="1"/>
    </xf>
    <xf numFmtId="0" fontId="21" fillId="0" borderId="55" xfId="5" applyFont="1" applyBorder="1" applyAlignment="1">
      <alignment vertical="center"/>
    </xf>
    <xf numFmtId="0" fontId="21" fillId="0" borderId="5" xfId="5" applyFont="1" applyBorder="1" applyAlignment="1">
      <alignment vertical="center"/>
    </xf>
    <xf numFmtId="0" fontId="46" fillId="0" borderId="0" xfId="5" applyFont="1" applyBorder="1" applyAlignment="1">
      <alignment horizontal="left" vertical="center"/>
    </xf>
    <xf numFmtId="2" fontId="26" fillId="0" borderId="0" xfId="5" applyNumberFormat="1" applyFont="1" applyFill="1" applyBorder="1" applyAlignment="1">
      <alignment horizontal="left" vertical="center"/>
    </xf>
    <xf numFmtId="0" fontId="51" fillId="0" borderId="0" xfId="5" applyFont="1" applyBorder="1" applyAlignment="1">
      <alignment vertical="center"/>
    </xf>
    <xf numFmtId="0" fontId="52" fillId="0" borderId="0" xfId="5" applyFont="1" applyBorder="1" applyAlignment="1">
      <alignment vertical="center"/>
    </xf>
    <xf numFmtId="0" fontId="26" fillId="0" borderId="0" xfId="5" applyFont="1" applyBorder="1" applyAlignment="1">
      <alignment vertical="center"/>
    </xf>
    <xf numFmtId="189" fontId="26" fillId="0" borderId="0" xfId="5" applyNumberFormat="1" applyFont="1" applyFill="1" applyBorder="1" applyAlignment="1">
      <alignment horizontal="center" vertical="center"/>
    </xf>
    <xf numFmtId="0" fontId="38" fillId="0" borderId="0" xfId="5" applyFont="1" applyFill="1" applyBorder="1" applyAlignment="1">
      <alignment horizontal="center" vertical="center"/>
    </xf>
    <xf numFmtId="201" fontId="53" fillId="0" borderId="0" xfId="5" applyNumberFormat="1" applyFont="1" applyFill="1" applyBorder="1" applyAlignment="1" applyProtection="1">
      <alignment horizontal="center" vertical="center"/>
      <protection locked="0"/>
    </xf>
    <xf numFmtId="0" fontId="38" fillId="0" borderId="0" xfId="5" applyFont="1" applyBorder="1" applyAlignment="1">
      <alignment horizontal="center" vertical="center"/>
    </xf>
    <xf numFmtId="191" fontId="38" fillId="0" borderId="0" xfId="5" applyNumberFormat="1" applyFont="1" applyFill="1" applyBorder="1" applyAlignment="1">
      <alignment horizontal="center" vertical="center"/>
    </xf>
    <xf numFmtId="0" fontId="38" fillId="0" borderId="0" xfId="5" applyFont="1" applyFill="1" applyBorder="1" applyAlignment="1">
      <alignment vertical="center"/>
    </xf>
    <xf numFmtId="0" fontId="54" fillId="0" borderId="0" xfId="5" applyFont="1" applyFill="1" applyBorder="1" applyAlignment="1">
      <alignment vertical="center"/>
    </xf>
    <xf numFmtId="0" fontId="25" fillId="0" borderId="62" xfId="5" applyFont="1" applyBorder="1" applyAlignment="1">
      <alignment vertical="center"/>
    </xf>
    <xf numFmtId="0" fontId="25" fillId="0" borderId="62" xfId="5" applyFont="1" applyFill="1" applyBorder="1" applyAlignment="1">
      <alignment vertical="center"/>
    </xf>
    <xf numFmtId="0" fontId="56" fillId="0" borderId="0" xfId="5" applyFont="1"/>
    <xf numFmtId="0" fontId="25" fillId="0" borderId="0" xfId="5" applyFont="1" applyFill="1" applyBorder="1" applyAlignment="1">
      <alignment vertical="center"/>
    </xf>
    <xf numFmtId="0" fontId="56" fillId="0" borderId="0" xfId="5" applyFont="1" applyBorder="1" applyAlignment="1">
      <alignment vertical="center"/>
    </xf>
    <xf numFmtId="0" fontId="51" fillId="0" borderId="0" xfId="5" applyFont="1" applyBorder="1" applyAlignment="1">
      <alignment horizontal="left" vertical="center"/>
    </xf>
    <xf numFmtId="189" fontId="51" fillId="0" borderId="0" xfId="5" applyNumberFormat="1" applyFont="1" applyBorder="1" applyAlignment="1">
      <alignment horizontal="centerContinuous" vertical="center"/>
    </xf>
    <xf numFmtId="0" fontId="21" fillId="0" borderId="0" xfId="5" applyFont="1" applyFill="1" applyBorder="1" applyAlignment="1">
      <alignment vertical="center"/>
    </xf>
    <xf numFmtId="0" fontId="57" fillId="0" borderId="70" xfId="5" applyFont="1" applyFill="1" applyBorder="1" applyAlignment="1"/>
    <xf numFmtId="0" fontId="57" fillId="0" borderId="0" xfId="5" applyFont="1" applyFill="1" applyBorder="1" applyAlignment="1"/>
    <xf numFmtId="0" fontId="25" fillId="0" borderId="0" xfId="5" applyFont="1" applyBorder="1" applyAlignment="1">
      <alignment vertical="center"/>
    </xf>
    <xf numFmtId="0" fontId="57" fillId="0" borderId="0" xfId="5" applyFont="1" applyFill="1" applyBorder="1" applyAlignment="1">
      <alignment vertical="center"/>
    </xf>
    <xf numFmtId="205" fontId="21" fillId="0" borderId="30" xfId="5" applyNumberFormat="1" applyFont="1" applyFill="1" applyBorder="1" applyAlignment="1">
      <alignment vertical="center"/>
    </xf>
    <xf numFmtId="205" fontId="21" fillId="0" borderId="30" xfId="5" applyNumberFormat="1" applyFont="1" applyFill="1" applyBorder="1" applyAlignment="1">
      <alignment horizontal="center" vertical="center"/>
    </xf>
    <xf numFmtId="205" fontId="21" fillId="0" borderId="11" xfId="5" applyNumberFormat="1" applyFont="1" applyFill="1" applyBorder="1" applyAlignment="1">
      <alignment horizontal="center" vertical="center"/>
    </xf>
    <xf numFmtId="204" fontId="21" fillId="0" borderId="2" xfId="5" applyNumberFormat="1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vertical="center"/>
    </xf>
    <xf numFmtId="205" fontId="21" fillId="0" borderId="0" xfId="5" applyNumberFormat="1" applyFont="1" applyFill="1" applyBorder="1" applyAlignment="1">
      <alignment horizontal="center" vertical="center"/>
    </xf>
    <xf numFmtId="205" fontId="21" fillId="0" borderId="17" xfId="5" applyNumberFormat="1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left" vertical="center"/>
    </xf>
    <xf numFmtId="41" fontId="27" fillId="0" borderId="0" xfId="5" applyNumberFormat="1" applyFont="1" applyFill="1" applyBorder="1" applyAlignment="1">
      <alignment horizontal="center" vertical="center"/>
    </xf>
    <xf numFmtId="205" fontId="25" fillId="0" borderId="0" xfId="5" applyNumberFormat="1" applyFont="1" applyFill="1" applyBorder="1" applyAlignment="1">
      <alignment horizontal="center" vertical="center"/>
    </xf>
    <xf numFmtId="0" fontId="33" fillId="0" borderId="62" xfId="5" applyFont="1" applyFill="1" applyBorder="1" applyAlignment="1">
      <alignment vertical="center"/>
    </xf>
    <xf numFmtId="0" fontId="23" fillId="0" borderId="15" xfId="5" applyFont="1" applyFill="1" applyBorder="1" applyAlignment="1">
      <alignment vertical="center"/>
    </xf>
    <xf numFmtId="0" fontId="57" fillId="0" borderId="70" xfId="5" applyFont="1" applyFill="1" applyBorder="1" applyAlignment="1">
      <alignment vertical="center"/>
    </xf>
    <xf numFmtId="0" fontId="25" fillId="0" borderId="0" xfId="5" applyFont="1" applyFill="1" applyBorder="1" applyAlignment="1">
      <alignment horizontal="center" vertical="center"/>
    </xf>
    <xf numFmtId="0" fontId="33" fillId="0" borderId="29" xfId="5" applyFont="1" applyFill="1" applyBorder="1" applyAlignment="1">
      <alignment horizontal="center" vertical="center"/>
    </xf>
    <xf numFmtId="0" fontId="21" fillId="0" borderId="70" xfId="5" applyFont="1" applyFill="1" applyBorder="1" applyAlignment="1">
      <alignment vertical="center"/>
    </xf>
    <xf numFmtId="0" fontId="21" fillId="0" borderId="0" xfId="5" applyFont="1" applyFill="1" applyBorder="1" applyAlignment="1">
      <alignment horizontal="center" vertical="center"/>
    </xf>
    <xf numFmtId="0" fontId="23" fillId="0" borderId="16" xfId="5" applyFont="1" applyFill="1" applyBorder="1" applyAlignment="1">
      <alignment vertical="center"/>
    </xf>
    <xf numFmtId="0" fontId="23" fillId="0" borderId="15" xfId="5" applyFont="1" applyFill="1" applyBorder="1" applyAlignment="1">
      <alignment horizontal="center" vertical="center"/>
    </xf>
    <xf numFmtId="0" fontId="33" fillId="0" borderId="27" xfId="5" applyFont="1" applyFill="1" applyBorder="1" applyAlignment="1">
      <alignment vertical="center"/>
    </xf>
    <xf numFmtId="0" fontId="21" fillId="0" borderId="54" xfId="5" applyFont="1" applyFill="1" applyBorder="1" applyAlignment="1">
      <alignment vertical="center"/>
    </xf>
    <xf numFmtId="0" fontId="21" fillId="0" borderId="51" xfId="5" applyFont="1" applyFill="1" applyBorder="1" applyAlignment="1">
      <alignment vertical="center"/>
    </xf>
    <xf numFmtId="0" fontId="25" fillId="0" borderId="51" xfId="5" applyFont="1" applyFill="1" applyBorder="1" applyAlignment="1">
      <alignment vertical="center"/>
    </xf>
    <xf numFmtId="0" fontId="33" fillId="0" borderId="79" xfId="5" applyFont="1" applyFill="1" applyBorder="1" applyAlignment="1">
      <alignment vertical="center"/>
    </xf>
    <xf numFmtId="0" fontId="21" fillId="0" borderId="53" xfId="5" applyFont="1" applyFill="1" applyBorder="1" applyAlignment="1">
      <alignment vertical="center"/>
    </xf>
    <xf numFmtId="0" fontId="21" fillId="0" borderId="55" xfId="5" applyFont="1" applyFill="1" applyBorder="1" applyAlignment="1">
      <alignment vertical="center"/>
    </xf>
    <xf numFmtId="49" fontId="23" fillId="0" borderId="55" xfId="5" applyNumberFormat="1" applyFont="1" applyFill="1" applyBorder="1" applyAlignment="1">
      <alignment horizontal="center" vertical="center"/>
    </xf>
    <xf numFmtId="0" fontId="23" fillId="0" borderId="55" xfId="5" applyFont="1" applyFill="1" applyBorder="1" applyAlignment="1">
      <alignment horizontal="center" vertical="center"/>
    </xf>
    <xf numFmtId="206" fontId="23" fillId="0" borderId="55" xfId="5" applyNumberFormat="1" applyFont="1" applyFill="1" applyBorder="1" applyAlignment="1">
      <alignment horizontal="center" vertical="center"/>
    </xf>
    <xf numFmtId="0" fontId="23" fillId="0" borderId="55" xfId="5" applyFont="1" applyFill="1" applyBorder="1" applyAlignment="1">
      <alignment vertical="center"/>
    </xf>
    <xf numFmtId="0" fontId="23" fillId="0" borderId="5" xfId="5" applyFont="1" applyFill="1" applyBorder="1" applyAlignment="1">
      <alignment horizontal="right" vertical="center"/>
    </xf>
    <xf numFmtId="0" fontId="46" fillId="0" borderId="0" xfId="5" applyFont="1" applyFill="1" applyBorder="1" applyAlignment="1">
      <alignment horizontal="center" vertical="center"/>
    </xf>
    <xf numFmtId="0" fontId="51" fillId="0" borderId="0" xfId="5" applyFont="1" applyFill="1" applyBorder="1" applyAlignment="1">
      <alignment horizontal="center" vertical="center"/>
    </xf>
    <xf numFmtId="0" fontId="21" fillId="0" borderId="62" xfId="5" applyFont="1" applyFill="1" applyBorder="1" applyAlignment="1">
      <alignment vertical="center"/>
    </xf>
    <xf numFmtId="0" fontId="26" fillId="0" borderId="70" xfId="5" applyFont="1" applyFill="1" applyBorder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 vertical="center"/>
    </xf>
    <xf numFmtId="2" fontId="26" fillId="0" borderId="0" xfId="5" applyNumberFormat="1" applyFont="1" applyFill="1" applyBorder="1" applyAlignment="1">
      <alignment vertical="center"/>
    </xf>
    <xf numFmtId="0" fontId="26" fillId="0" borderId="0" xfId="5" applyFont="1" applyFill="1" applyBorder="1" applyAlignment="1">
      <alignment horizontal="center" vertical="center"/>
    </xf>
    <xf numFmtId="0" fontId="21" fillId="0" borderId="70" xfId="5" applyFont="1" applyFill="1" applyBorder="1" applyAlignment="1">
      <alignment horizontal="left" vertical="center"/>
    </xf>
    <xf numFmtId="0" fontId="21" fillId="0" borderId="0" xfId="5" applyFont="1" applyFill="1" applyBorder="1" applyAlignment="1">
      <alignment horizontal="left" vertical="center" textRotation="30"/>
    </xf>
    <xf numFmtId="2" fontId="27" fillId="0" borderId="0" xfId="5" applyNumberFormat="1" applyFont="1" applyFill="1" applyBorder="1" applyAlignment="1">
      <alignment horizontal="center" vertical="center"/>
    </xf>
    <xf numFmtId="0" fontId="21" fillId="0" borderId="70" xfId="5" applyFont="1" applyFill="1" applyBorder="1" applyAlignment="1">
      <alignment horizontal="right" vertical="center" textRotation="30"/>
    </xf>
    <xf numFmtId="0" fontId="21" fillId="0" borderId="0" xfId="5" applyFont="1" applyFill="1" applyBorder="1" applyAlignment="1">
      <alignment horizontal="right" vertical="center"/>
    </xf>
    <xf numFmtId="0" fontId="25" fillId="0" borderId="0" xfId="5" applyFont="1" applyFill="1" applyBorder="1" applyAlignment="1">
      <alignment vertical="center" textRotation="33"/>
    </xf>
    <xf numFmtId="0" fontId="42" fillId="0" borderId="0" xfId="5" applyBorder="1" applyAlignment="1"/>
    <xf numFmtId="196" fontId="23" fillId="0" borderId="0" xfId="5" applyNumberFormat="1" applyFont="1" applyFill="1" applyBorder="1" applyAlignment="1">
      <alignment horizontal="center" vertical="center"/>
    </xf>
    <xf numFmtId="9" fontId="61" fillId="0" borderId="0" xfId="6" applyFont="1" applyFill="1" applyBorder="1" applyAlignment="1">
      <alignment horizontal="left" vertical="center"/>
    </xf>
    <xf numFmtId="196" fontId="23" fillId="0" borderId="0" xfId="5" applyNumberFormat="1" applyFont="1" applyFill="1" applyBorder="1" applyAlignment="1">
      <alignment vertical="center"/>
    </xf>
    <xf numFmtId="9" fontId="61" fillId="0" borderId="0" xfId="6" applyFont="1" applyFill="1" applyBorder="1" applyAlignment="1">
      <alignment horizontal="center"/>
    </xf>
    <xf numFmtId="196" fontId="23" fillId="0" borderId="0" xfId="5" applyNumberFormat="1" applyFont="1" applyFill="1" applyBorder="1" applyAlignment="1">
      <alignment horizontal="right" vertical="center"/>
    </xf>
    <xf numFmtId="196" fontId="61" fillId="0" borderId="0" xfId="6" applyNumberFormat="1" applyFont="1" applyFill="1" applyBorder="1" applyAlignment="1">
      <alignment horizontal="center" vertical="center"/>
    </xf>
    <xf numFmtId="9" fontId="62" fillId="0" borderId="0" xfId="6" applyNumberFormat="1" applyFont="1" applyFill="1" applyBorder="1" applyAlignment="1">
      <alignment horizontal="left" vertical="center"/>
    </xf>
    <xf numFmtId="0" fontId="25" fillId="0" borderId="0" xfId="5" applyFont="1" applyFill="1" applyBorder="1" applyAlignment="1">
      <alignment vertical="center" textRotation="27"/>
    </xf>
    <xf numFmtId="0" fontId="21" fillId="0" borderId="0" xfId="5" applyFont="1" applyBorder="1" applyAlignment="1">
      <alignment horizontal="left" vertical="center"/>
    </xf>
    <xf numFmtId="0" fontId="21" fillId="0" borderId="0" xfId="5" applyFont="1" applyFill="1" applyBorder="1" applyAlignment="1">
      <alignment horizontal="right" vertical="center" textRotation="124"/>
    </xf>
    <xf numFmtId="0" fontId="21" fillId="0" borderId="0" xfId="5" applyFont="1" applyFill="1" applyBorder="1" applyAlignment="1">
      <alignment horizontal="center" vertical="center" textRotation="120"/>
    </xf>
    <xf numFmtId="0" fontId="21" fillId="0" borderId="0" xfId="5" applyFont="1" applyFill="1" applyBorder="1" applyAlignment="1">
      <alignment horizontal="left" vertical="center" textRotation="127"/>
    </xf>
    <xf numFmtId="0" fontId="21" fillId="0" borderId="0" xfId="5" applyFont="1" applyBorder="1" applyAlignment="1">
      <alignment horizontal="right" vertical="center" textRotation="30"/>
    </xf>
    <xf numFmtId="0" fontId="21" fillId="0" borderId="0" xfId="5" applyFont="1" applyFill="1" applyBorder="1" applyAlignment="1">
      <alignment horizontal="left" vertical="center" textRotation="134"/>
    </xf>
    <xf numFmtId="0" fontId="26" fillId="0" borderId="70" xfId="5" applyFont="1" applyFill="1" applyBorder="1" applyAlignment="1">
      <alignment horizontal="left" vertical="center"/>
    </xf>
    <xf numFmtId="0" fontId="35" fillId="0" borderId="0" xfId="5" applyFont="1" applyFill="1" applyBorder="1" applyAlignment="1">
      <alignment horizontal="center" vertical="center"/>
    </xf>
    <xf numFmtId="20" fontId="26" fillId="0" borderId="0" xfId="5" applyNumberFormat="1" applyFont="1" applyFill="1" applyBorder="1" applyAlignment="1">
      <alignment horizontal="center" vertical="center"/>
    </xf>
    <xf numFmtId="0" fontId="25" fillId="0" borderId="70" xfId="5" applyFont="1" applyFill="1" applyBorder="1" applyAlignment="1">
      <alignment horizontal="center" vertical="center"/>
    </xf>
    <xf numFmtId="0" fontId="21" fillId="0" borderId="0" xfId="5" applyFont="1" applyBorder="1" applyAlignment="1">
      <alignment horizontal="center" vertical="center"/>
    </xf>
    <xf numFmtId="1" fontId="21" fillId="0" borderId="70" xfId="5" applyNumberFormat="1" applyFont="1" applyFill="1" applyBorder="1" applyAlignment="1">
      <alignment horizontal="center" vertical="center"/>
    </xf>
    <xf numFmtId="3" fontId="25" fillId="0" borderId="0" xfId="7" applyNumberFormat="1" applyFont="1" applyFill="1" applyBorder="1" applyAlignment="1">
      <alignment horizontal="center" vertical="center"/>
    </xf>
    <xf numFmtId="0" fontId="21" fillId="0" borderId="0" xfId="5" applyFont="1" applyAlignment="1">
      <alignment vertical="center"/>
    </xf>
    <xf numFmtId="49" fontId="25" fillId="0" borderId="0" xfId="5" applyNumberFormat="1" applyFont="1" applyFill="1" applyBorder="1" applyAlignment="1">
      <alignment horizontal="centerContinuous" vertical="center"/>
    </xf>
    <xf numFmtId="0" fontId="21" fillId="0" borderId="0" xfId="5" applyFont="1" applyFill="1" applyBorder="1" applyAlignment="1">
      <alignment horizontal="centerContinuous" vertical="center"/>
    </xf>
    <xf numFmtId="205" fontId="21" fillId="0" borderId="0" xfId="5" applyNumberFormat="1" applyFont="1" applyFill="1" applyBorder="1" applyAlignment="1">
      <alignment horizontal="centerContinuous" vertical="center"/>
    </xf>
    <xf numFmtId="3" fontId="25" fillId="0" borderId="0" xfId="7" applyNumberFormat="1" applyFont="1" applyFill="1" applyBorder="1" applyAlignment="1">
      <alignment horizontal="centerContinuous" vertical="center"/>
    </xf>
    <xf numFmtId="1" fontId="23" fillId="0" borderId="0" xfId="5" applyNumberFormat="1" applyFont="1" applyFill="1" applyBorder="1" applyAlignment="1">
      <alignment horizontal="center" vertical="center"/>
    </xf>
    <xf numFmtId="0" fontId="35" fillId="0" borderId="0" xfId="5" applyFont="1" applyFill="1" applyBorder="1" applyAlignment="1">
      <alignment horizontal="left" vertical="center"/>
    </xf>
    <xf numFmtId="205" fontId="23" fillId="0" borderId="0" xfId="5" applyNumberFormat="1" applyFont="1" applyFill="1" applyBorder="1" applyAlignment="1">
      <alignment horizontal="center" vertical="center"/>
    </xf>
    <xf numFmtId="0" fontId="23" fillId="0" borderId="0" xfId="5" applyFont="1" applyFill="1" applyBorder="1" applyAlignment="1">
      <alignment vertical="center"/>
    </xf>
    <xf numFmtId="41" fontId="27" fillId="0" borderId="0" xfId="7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49" fontId="23" fillId="0" borderId="0" xfId="5" applyNumberFormat="1" applyFont="1" applyFill="1" applyBorder="1" applyAlignment="1">
      <alignment horizontal="center" vertical="center"/>
    </xf>
    <xf numFmtId="0" fontId="23" fillId="0" borderId="0" xfId="5" applyFont="1" applyFill="1" applyBorder="1" applyAlignment="1">
      <alignment horizontal="center" vertical="center"/>
    </xf>
    <xf numFmtId="205" fontId="23" fillId="0" borderId="0" xfId="5" applyNumberFormat="1" applyFont="1" applyFill="1" applyBorder="1" applyAlignment="1">
      <alignment horizontal="left" vertical="center"/>
    </xf>
    <xf numFmtId="0" fontId="23" fillId="0" borderId="0" xfId="5" applyFont="1" applyBorder="1" applyAlignment="1">
      <alignment vertical="center"/>
    </xf>
    <xf numFmtId="0" fontId="21" fillId="0" borderId="0" xfId="5" applyFont="1" applyFill="1" applyBorder="1" applyAlignment="1">
      <alignment horizontal="left" vertical="center"/>
    </xf>
    <xf numFmtId="0" fontId="63" fillId="0" borderId="0" xfId="5" applyFont="1" applyFill="1" applyBorder="1" applyAlignment="1">
      <alignment vertical="center"/>
    </xf>
    <xf numFmtId="0" fontId="24" fillId="0" borderId="0" xfId="5" applyFont="1" applyFill="1" applyBorder="1" applyAlignment="1">
      <alignment vertical="center"/>
    </xf>
    <xf numFmtId="0" fontId="64" fillId="0" borderId="0" xfId="5" applyFont="1" applyBorder="1" applyAlignment="1">
      <alignment horizontal="center" vertical="center"/>
    </xf>
    <xf numFmtId="0" fontId="34" fillId="0" borderId="0" xfId="5" applyFont="1" applyFill="1" applyBorder="1" applyAlignment="1">
      <alignment vertical="center"/>
    </xf>
    <xf numFmtId="0" fontId="39" fillId="0" borderId="0" xfId="8" applyFont="1" applyFill="1" applyBorder="1" applyAlignment="1">
      <alignment vertical="center"/>
    </xf>
    <xf numFmtId="0" fontId="24" fillId="0" borderId="0" xfId="5" applyFont="1" applyFill="1" applyBorder="1" applyAlignment="1">
      <alignment vertical="top"/>
    </xf>
    <xf numFmtId="0" fontId="21" fillId="0" borderId="0" xfId="8" applyFont="1" applyFill="1" applyBorder="1" applyAlignment="1">
      <alignment vertical="center"/>
    </xf>
    <xf numFmtId="0" fontId="27" fillId="0" borderId="0" xfId="5" applyFont="1" applyFill="1" applyBorder="1" applyAlignment="1">
      <alignment horizontal="center" vertical="center"/>
    </xf>
    <xf numFmtId="3" fontId="21" fillId="0" borderId="0" xfId="5" applyNumberFormat="1" applyFont="1" applyFill="1" applyBorder="1" applyAlignment="1">
      <alignment horizontal="center" vertical="center"/>
    </xf>
    <xf numFmtId="49" fontId="23" fillId="0" borderId="51" xfId="5" applyNumberFormat="1" applyFont="1" applyFill="1" applyBorder="1" applyAlignment="1">
      <alignment horizontal="center" vertical="center"/>
    </xf>
    <xf numFmtId="0" fontId="23" fillId="0" borderId="51" xfId="5" applyFont="1" applyFill="1" applyBorder="1" applyAlignment="1">
      <alignment vertical="center"/>
    </xf>
    <xf numFmtId="0" fontId="23" fillId="0" borderId="51" xfId="5" applyFont="1" applyFill="1" applyBorder="1" applyAlignment="1">
      <alignment horizontal="center" vertical="center"/>
    </xf>
    <xf numFmtId="205" fontId="23" fillId="0" borderId="51" xfId="5" applyNumberFormat="1" applyFont="1" applyFill="1" applyBorder="1" applyAlignment="1">
      <alignment horizontal="center" vertical="center"/>
    </xf>
    <xf numFmtId="41" fontId="27" fillId="0" borderId="51" xfId="5" applyNumberFormat="1" applyFont="1" applyFill="1" applyBorder="1" applyAlignment="1">
      <alignment horizontal="center" vertical="center"/>
    </xf>
    <xf numFmtId="205" fontId="23" fillId="0" borderId="55" xfId="5" applyNumberFormat="1" applyFont="1" applyFill="1" applyBorder="1" applyAlignment="1">
      <alignment horizontal="center" vertical="center"/>
    </xf>
    <xf numFmtId="41" fontId="27" fillId="0" borderId="55" xfId="5" applyNumberFormat="1" applyFont="1" applyFill="1" applyBorder="1" applyAlignment="1">
      <alignment horizontal="center" vertical="center"/>
    </xf>
    <xf numFmtId="0" fontId="23" fillId="0" borderId="55" xfId="5" applyNumberFormat="1" applyFont="1" applyFill="1" applyBorder="1" applyAlignment="1">
      <alignment horizontal="center" vertical="center"/>
    </xf>
    <xf numFmtId="0" fontId="25" fillId="0" borderId="81" xfId="5" applyFont="1" applyFill="1" applyBorder="1" applyAlignment="1">
      <alignment horizontal="center" vertical="center"/>
    </xf>
    <xf numFmtId="0" fontId="25" fillId="0" borderId="28" xfId="5" applyFont="1" applyFill="1" applyBorder="1" applyAlignment="1">
      <alignment horizontal="centerContinuous" vertical="center"/>
    </xf>
    <xf numFmtId="0" fontId="25" fillId="0" borderId="13" xfId="5" applyFont="1" applyFill="1" applyBorder="1" applyAlignment="1">
      <alignment horizontal="centerContinuous" vertical="center"/>
    </xf>
    <xf numFmtId="0" fontId="25" fillId="0" borderId="16" xfId="5" applyFont="1" applyFill="1" applyBorder="1" applyAlignment="1">
      <alignment horizontal="center" vertical="center"/>
    </xf>
    <xf numFmtId="0" fontId="25" fillId="0" borderId="12" xfId="5" applyFont="1" applyFill="1" applyBorder="1" applyAlignment="1">
      <alignment horizontal="center" vertical="center"/>
    </xf>
    <xf numFmtId="0" fontId="25" fillId="0" borderId="82" xfId="5" applyFont="1" applyFill="1" applyBorder="1" applyAlignment="1">
      <alignment horizontal="center" vertical="center"/>
    </xf>
    <xf numFmtId="0" fontId="25" fillId="0" borderId="86" xfId="5" applyFont="1" applyFill="1" applyBorder="1" applyAlignment="1">
      <alignment horizontal="center" vertical="center"/>
    </xf>
    <xf numFmtId="0" fontId="25" fillId="0" borderId="85" xfId="5" applyFont="1" applyFill="1" applyBorder="1" applyAlignment="1">
      <alignment horizontal="center" vertical="center"/>
    </xf>
    <xf numFmtId="39" fontId="25" fillId="0" borderId="83" xfId="9" applyNumberFormat="1" applyFont="1" applyBorder="1" applyAlignment="1" applyProtection="1">
      <alignment horizontal="left"/>
    </xf>
    <xf numFmtId="0" fontId="25" fillId="0" borderId="84" xfId="5" applyFont="1" applyFill="1" applyBorder="1" applyAlignment="1">
      <alignment horizontal="centerContinuous" vertical="center"/>
    </xf>
    <xf numFmtId="0" fontId="25" fillId="0" borderId="2" xfId="5" applyFont="1" applyFill="1" applyBorder="1" applyAlignment="1">
      <alignment horizontal="center" vertical="center"/>
    </xf>
    <xf numFmtId="0" fontId="21" fillId="0" borderId="2" xfId="5" applyFont="1" applyFill="1" applyBorder="1" applyAlignment="1">
      <alignment horizontal="center" vertical="center"/>
    </xf>
    <xf numFmtId="0" fontId="25" fillId="0" borderId="17" xfId="5" applyFont="1" applyFill="1" applyBorder="1" applyAlignment="1">
      <alignment horizontal="center" vertical="center"/>
    </xf>
    <xf numFmtId="0" fontId="25" fillId="0" borderId="87" xfId="5" applyFont="1" applyFill="1" applyBorder="1" applyAlignment="1">
      <alignment horizontal="center"/>
    </xf>
    <xf numFmtId="0" fontId="25" fillId="0" borderId="91" xfId="5" applyFont="1" applyFill="1" applyBorder="1" applyAlignment="1">
      <alignment horizontal="center" vertical="center"/>
    </xf>
    <xf numFmtId="49" fontId="23" fillId="0" borderId="91" xfId="5" applyNumberFormat="1" applyFont="1" applyFill="1" applyBorder="1" applyAlignment="1">
      <alignment horizontal="center" vertical="center"/>
    </xf>
    <xf numFmtId="39" fontId="21" fillId="0" borderId="88" xfId="9" applyNumberFormat="1" applyFont="1" applyBorder="1" applyAlignment="1" applyProtection="1">
      <alignment horizontal="left"/>
    </xf>
    <xf numFmtId="0" fontId="23" fillId="0" borderId="93" xfId="5" applyFont="1" applyFill="1" applyBorder="1" applyAlignment="1">
      <alignment horizontal="center" vertical="center"/>
    </xf>
    <xf numFmtId="205" fontId="23" fillId="0" borderId="93" xfId="5" applyNumberFormat="1" applyFont="1" applyFill="1" applyBorder="1" applyAlignment="1">
      <alignment horizontal="center" vertical="center"/>
    </xf>
    <xf numFmtId="43" fontId="21" fillId="0" borderId="94" xfId="7" applyFont="1" applyFill="1" applyBorder="1" applyAlignment="1" applyProtection="1">
      <alignment horizontal="center" vertical="center"/>
      <protection hidden="1"/>
    </xf>
    <xf numFmtId="0" fontId="25" fillId="0" borderId="90" xfId="7" applyNumberFormat="1" applyFont="1" applyFill="1" applyBorder="1" applyAlignment="1">
      <alignment horizontal="center" vertical="center"/>
    </xf>
    <xf numFmtId="0" fontId="23" fillId="0" borderId="92" xfId="5" applyFont="1" applyFill="1" applyBorder="1" applyAlignment="1">
      <alignment vertical="center"/>
    </xf>
    <xf numFmtId="49" fontId="23" fillId="0" borderId="94" xfId="5" applyNumberFormat="1" applyFont="1" applyFill="1" applyBorder="1" applyAlignment="1">
      <alignment horizontal="center" vertical="center"/>
    </xf>
    <xf numFmtId="205" fontId="23" fillId="0" borderId="89" xfId="5" applyNumberFormat="1" applyFont="1" applyFill="1" applyBorder="1" applyAlignment="1">
      <alignment horizontal="center" vertical="center"/>
    </xf>
    <xf numFmtId="39" fontId="21" fillId="0" borderId="90" xfId="9" applyNumberFormat="1" applyFont="1" applyBorder="1" applyAlignment="1" applyProtection="1">
      <alignment horizontal="left" shrinkToFit="1"/>
    </xf>
    <xf numFmtId="0" fontId="21" fillId="0" borderId="94" xfId="5" applyFont="1" applyFill="1" applyBorder="1" applyAlignment="1" applyProtection="1">
      <alignment horizontal="center" vertical="center"/>
      <protection hidden="1"/>
    </xf>
    <xf numFmtId="0" fontId="27" fillId="0" borderId="90" xfId="7" applyNumberFormat="1" applyFont="1" applyFill="1" applyBorder="1" applyAlignment="1">
      <alignment horizontal="center" vertical="center"/>
    </xf>
    <xf numFmtId="0" fontId="23" fillId="0" borderId="90" xfId="5" applyFont="1" applyFill="1" applyBorder="1" applyAlignment="1">
      <alignment vertical="center"/>
    </xf>
    <xf numFmtId="0" fontId="21" fillId="0" borderId="24" xfId="5" applyFont="1" applyBorder="1" applyAlignment="1">
      <alignment vertical="center"/>
    </xf>
    <xf numFmtId="1" fontId="23" fillId="0" borderId="95" xfId="5" applyNumberFormat="1" applyFont="1" applyFill="1" applyBorder="1" applyAlignment="1">
      <alignment horizontal="center" vertical="center"/>
    </xf>
    <xf numFmtId="0" fontId="21" fillId="0" borderId="88" xfId="5" applyFont="1" applyBorder="1" applyProtection="1"/>
    <xf numFmtId="0" fontId="21" fillId="0" borderId="89" xfId="5" applyFont="1" applyBorder="1" applyProtection="1"/>
    <xf numFmtId="205" fontId="21" fillId="0" borderId="90" xfId="5" applyNumberFormat="1" applyFont="1" applyFill="1" applyBorder="1" applyAlignment="1">
      <alignment horizontal="center" vertical="center"/>
    </xf>
    <xf numFmtId="205" fontId="21" fillId="0" borderId="94" xfId="5" applyNumberFormat="1" applyFont="1" applyFill="1" applyBorder="1" applyAlignment="1">
      <alignment horizontal="center" vertical="center"/>
    </xf>
    <xf numFmtId="3" fontId="21" fillId="0" borderId="94" xfId="5" applyNumberFormat="1" applyFont="1" applyFill="1" applyBorder="1" applyAlignment="1">
      <alignment horizontal="center" vertical="center"/>
    </xf>
    <xf numFmtId="39" fontId="21" fillId="0" borderId="88" xfId="9" applyNumberFormat="1" applyFont="1" applyFill="1" applyBorder="1" applyAlignment="1" applyProtection="1">
      <alignment horizontal="left"/>
    </xf>
    <xf numFmtId="0" fontId="23" fillId="0" borderId="89" xfId="5" applyFont="1" applyFill="1" applyBorder="1" applyAlignment="1">
      <alignment horizontal="center" vertical="center"/>
    </xf>
    <xf numFmtId="49" fontId="23" fillId="0" borderId="95" xfId="5" applyNumberFormat="1" applyFont="1" applyFill="1" applyBorder="1" applyAlignment="1">
      <alignment horizontal="center" vertical="center"/>
    </xf>
    <xf numFmtId="3" fontId="21" fillId="0" borderId="90" xfId="5" applyNumberFormat="1" applyFont="1" applyFill="1" applyBorder="1" applyAlignment="1">
      <alignment horizontal="center" vertical="center"/>
    </xf>
    <xf numFmtId="0" fontId="21" fillId="0" borderId="94" xfId="5" applyFont="1" applyBorder="1" applyAlignment="1">
      <alignment vertical="center"/>
    </xf>
    <xf numFmtId="0" fontId="23" fillId="0" borderId="89" xfId="5" applyFont="1" applyFill="1" applyBorder="1" applyAlignment="1">
      <alignment vertical="center"/>
    </xf>
    <xf numFmtId="0" fontId="25" fillId="0" borderId="90" xfId="5" applyFont="1" applyFill="1" applyBorder="1" applyAlignment="1">
      <alignment horizontal="center" vertical="center"/>
    </xf>
    <xf numFmtId="0" fontId="21" fillId="0" borderId="94" xfId="5" applyFont="1" applyFill="1" applyBorder="1" applyAlignment="1">
      <alignment horizontal="center" vertical="center"/>
    </xf>
    <xf numFmtId="0" fontId="25" fillId="0" borderId="94" xfId="5" applyFont="1" applyFill="1" applyBorder="1" applyAlignment="1">
      <alignment horizontal="center" vertical="center"/>
    </xf>
    <xf numFmtId="0" fontId="25" fillId="0" borderId="89" xfId="5" applyFont="1" applyFill="1" applyBorder="1" applyAlignment="1">
      <alignment horizontal="center" vertical="center"/>
    </xf>
    <xf numFmtId="3" fontId="23" fillId="0" borderId="90" xfId="5" applyNumberFormat="1" applyFont="1" applyFill="1" applyBorder="1" applyAlignment="1">
      <alignment horizontal="center" vertical="center"/>
    </xf>
    <xf numFmtId="39" fontId="21" fillId="0" borderId="0" xfId="5" applyNumberFormat="1" applyFont="1" applyFill="1" applyBorder="1" applyAlignment="1" applyProtection="1">
      <alignment horizontal="left"/>
    </xf>
    <xf numFmtId="0" fontId="21" fillId="0" borderId="95" xfId="5" applyFont="1" applyBorder="1" applyAlignment="1">
      <alignment vertical="center"/>
    </xf>
    <xf numFmtId="0" fontId="21" fillId="0" borderId="90" xfId="5" applyFont="1" applyBorder="1" applyProtection="1"/>
    <xf numFmtId="39" fontId="21" fillId="0" borderId="89" xfId="9" applyNumberFormat="1" applyFont="1" applyFill="1" applyBorder="1" applyAlignment="1" applyProtection="1">
      <alignment horizontal="left"/>
    </xf>
    <xf numFmtId="2" fontId="27" fillId="0" borderId="90" xfId="7" applyNumberFormat="1" applyFont="1" applyFill="1" applyBorder="1" applyAlignment="1">
      <alignment horizontal="center" vertical="center"/>
    </xf>
    <xf numFmtId="0" fontId="23" fillId="0" borderId="90" xfId="5" applyFont="1" applyFill="1" applyBorder="1" applyAlignment="1">
      <alignment horizontal="center" vertical="center"/>
    </xf>
    <xf numFmtId="205" fontId="23" fillId="0" borderId="90" xfId="5" applyNumberFormat="1" applyFont="1" applyFill="1" applyBorder="1" applyAlignment="1">
      <alignment horizontal="center" vertical="center"/>
    </xf>
    <xf numFmtId="39" fontId="21" fillId="0" borderId="88" xfId="9" applyNumberFormat="1" applyFont="1" applyFill="1" applyBorder="1" applyAlignment="1" applyProtection="1"/>
    <xf numFmtId="205" fontId="23" fillId="0" borderId="96" xfId="5" applyNumberFormat="1" applyFont="1" applyFill="1" applyBorder="1" applyAlignment="1">
      <alignment horizontal="center" vertical="center"/>
    </xf>
    <xf numFmtId="0" fontId="39" fillId="0" borderId="88" xfId="9" applyFont="1" applyBorder="1" applyAlignment="1" applyProtection="1">
      <alignment horizontal="left"/>
    </xf>
    <xf numFmtId="0" fontId="39" fillId="0" borderId="89" xfId="9" applyFont="1" applyBorder="1" applyAlignment="1" applyProtection="1">
      <alignment horizontal="left"/>
    </xf>
    <xf numFmtId="41" fontId="27" fillId="0" borderId="90" xfId="7" applyNumberFormat="1" applyFont="1" applyFill="1" applyBorder="1" applyAlignment="1">
      <alignment horizontal="center" vertical="center"/>
    </xf>
    <xf numFmtId="49" fontId="25" fillId="0" borderId="95" xfId="5" applyNumberFormat="1" applyFont="1" applyFill="1" applyBorder="1" applyAlignment="1">
      <alignment horizontal="center" vertical="center"/>
    </xf>
    <xf numFmtId="49" fontId="25" fillId="0" borderId="94" xfId="5" applyNumberFormat="1" applyFont="1" applyFill="1" applyBorder="1" applyAlignment="1">
      <alignment horizontal="center" vertical="center"/>
    </xf>
    <xf numFmtId="0" fontId="21" fillId="0" borderId="89" xfId="9" applyFont="1" applyFill="1" applyBorder="1" applyProtection="1"/>
    <xf numFmtId="0" fontId="21" fillId="0" borderId="88" xfId="9" applyFont="1" applyBorder="1" applyProtection="1"/>
    <xf numFmtId="205" fontId="25" fillId="0" borderId="90" xfId="5" applyNumberFormat="1" applyFont="1" applyFill="1" applyBorder="1" applyAlignment="1">
      <alignment horizontal="center" vertical="center"/>
    </xf>
    <xf numFmtId="3" fontId="23" fillId="0" borderId="89" xfId="5" applyNumberFormat="1" applyFont="1" applyFill="1" applyBorder="1" applyAlignment="1">
      <alignment horizontal="center" vertical="center"/>
    </xf>
    <xf numFmtId="49" fontId="25" fillId="0" borderId="95" xfId="5" applyNumberFormat="1" applyFont="1" applyFill="1" applyBorder="1" applyAlignment="1">
      <alignment horizontal="center"/>
    </xf>
    <xf numFmtId="43" fontId="25" fillId="0" borderId="90" xfId="7" applyFont="1" applyFill="1" applyBorder="1" applyAlignment="1">
      <alignment horizontal="center" vertical="center"/>
    </xf>
    <xf numFmtId="0" fontId="21" fillId="0" borderId="90" xfId="5" applyFont="1" applyFill="1" applyBorder="1" applyAlignment="1">
      <alignment vertical="center"/>
    </xf>
    <xf numFmtId="0" fontId="21" fillId="0" borderId="94" xfId="9" applyFont="1" applyBorder="1" applyProtection="1"/>
    <xf numFmtId="0" fontId="25" fillId="0" borderId="89" xfId="9" applyFont="1" applyBorder="1" applyAlignment="1" applyProtection="1"/>
    <xf numFmtId="0" fontId="25" fillId="0" borderId="90" xfId="9" applyFont="1" applyBorder="1" applyAlignment="1" applyProtection="1"/>
    <xf numFmtId="3" fontId="21" fillId="0" borderId="89" xfId="5" applyNumberFormat="1" applyFont="1" applyFill="1" applyBorder="1" applyAlignment="1">
      <alignment horizontal="center" vertical="center"/>
    </xf>
    <xf numFmtId="0" fontId="21" fillId="0" borderId="89" xfId="5" applyFont="1" applyFill="1" applyBorder="1" applyAlignment="1">
      <alignment horizontal="center" vertical="center"/>
    </xf>
    <xf numFmtId="49" fontId="23" fillId="0" borderId="97" xfId="5" applyNumberFormat="1" applyFont="1" applyFill="1" applyBorder="1" applyAlignment="1">
      <alignment horizontal="center" vertical="center"/>
    </xf>
    <xf numFmtId="0" fontId="23" fillId="0" borderId="96" xfId="5" applyFont="1" applyFill="1" applyBorder="1" applyAlignment="1">
      <alignment horizontal="center" vertical="center"/>
    </xf>
    <xf numFmtId="0" fontId="21" fillId="0" borderId="97" xfId="5" applyFont="1" applyFill="1" applyBorder="1" applyAlignment="1" applyProtection="1">
      <alignment horizontal="center" vertical="center"/>
      <protection hidden="1"/>
    </xf>
    <xf numFmtId="0" fontId="23" fillId="0" borderId="98" xfId="5" applyFont="1" applyFill="1" applyBorder="1" applyAlignment="1">
      <alignment vertical="center"/>
    </xf>
    <xf numFmtId="0" fontId="23" fillId="0" borderId="94" xfId="5" applyFont="1" applyBorder="1" applyAlignment="1">
      <alignment vertical="center"/>
    </xf>
    <xf numFmtId="39" fontId="21" fillId="0" borderId="94" xfId="9" applyNumberFormat="1" applyFont="1" applyBorder="1" applyAlignment="1" applyProtection="1">
      <alignment horizontal="left"/>
    </xf>
    <xf numFmtId="0" fontId="23" fillId="0" borderId="94" xfId="5" applyFont="1" applyFill="1" applyBorder="1" applyAlignment="1">
      <alignment horizontal="center" vertical="center"/>
    </xf>
    <xf numFmtId="205" fontId="23" fillId="0" borderId="94" xfId="5" applyNumberFormat="1" applyFont="1" applyFill="1" applyBorder="1" applyAlignment="1">
      <alignment horizontal="center" vertical="center"/>
    </xf>
    <xf numFmtId="0" fontId="23" fillId="0" borderId="94" xfId="5" applyFont="1" applyFill="1" applyBorder="1" applyAlignment="1">
      <alignment vertical="center"/>
    </xf>
    <xf numFmtId="39" fontId="33" fillId="0" borderId="94" xfId="9" applyNumberFormat="1" applyFont="1" applyBorder="1" applyAlignment="1" applyProtection="1">
      <alignment horizontal="left"/>
    </xf>
    <xf numFmtId="0" fontId="21" fillId="0" borderId="88" xfId="9" applyFont="1" applyFill="1" applyBorder="1" applyProtection="1"/>
    <xf numFmtId="0" fontId="21" fillId="0" borderId="24" xfId="5" applyFont="1" applyFill="1" applyBorder="1" applyAlignment="1">
      <alignment vertical="center"/>
    </xf>
    <xf numFmtId="39" fontId="33" fillId="0" borderId="90" xfId="9" applyNumberFormat="1" applyFont="1" applyBorder="1" applyAlignment="1" applyProtection="1">
      <alignment horizontal="left" shrinkToFit="1"/>
    </xf>
    <xf numFmtId="49" fontId="21" fillId="0" borderId="95" xfId="5" applyNumberFormat="1" applyFont="1" applyFill="1" applyBorder="1" applyAlignment="1">
      <alignment horizontal="center"/>
    </xf>
    <xf numFmtId="0" fontId="25" fillId="0" borderId="27" xfId="9" applyFont="1" applyBorder="1" applyProtection="1"/>
    <xf numFmtId="0" fontId="43" fillId="0" borderId="94" xfId="5" applyFont="1" applyBorder="1"/>
    <xf numFmtId="0" fontId="43" fillId="0" borderId="88" xfId="5" applyFont="1" applyBorder="1"/>
    <xf numFmtId="39" fontId="21" fillId="0" borderId="97" xfId="9" applyNumberFormat="1" applyFont="1" applyBorder="1" applyAlignment="1" applyProtection="1">
      <alignment horizontal="left"/>
    </xf>
    <xf numFmtId="0" fontId="43" fillId="0" borderId="97" xfId="5" applyFont="1" applyBorder="1"/>
    <xf numFmtId="205" fontId="23" fillId="0" borderId="97" xfId="5" applyNumberFormat="1" applyFont="1" applyFill="1" applyBorder="1" applyAlignment="1">
      <alignment horizontal="center" vertical="center"/>
    </xf>
    <xf numFmtId="0" fontId="23" fillId="0" borderId="97" xfId="5" applyFont="1" applyFill="1" applyBorder="1" applyAlignment="1">
      <alignment vertical="center"/>
    </xf>
    <xf numFmtId="0" fontId="23" fillId="0" borderId="97" xfId="5" applyFont="1" applyBorder="1" applyAlignment="1">
      <alignment vertical="center"/>
    </xf>
    <xf numFmtId="39" fontId="33" fillId="0" borderId="88" xfId="9" applyNumberFormat="1" applyFont="1" applyBorder="1" applyAlignment="1" applyProtection="1">
      <alignment horizontal="left"/>
    </xf>
    <xf numFmtId="0" fontId="43" fillId="0" borderId="96" xfId="5" applyFont="1" applyBorder="1"/>
    <xf numFmtId="0" fontId="23" fillId="0" borderId="96" xfId="5" applyFont="1" applyFill="1" applyBorder="1" applyAlignment="1">
      <alignment vertical="center"/>
    </xf>
    <xf numFmtId="49" fontId="23" fillId="0" borderId="99" xfId="5" applyNumberFormat="1" applyFont="1" applyFill="1" applyBorder="1" applyAlignment="1">
      <alignment horizontal="center" vertical="center"/>
    </xf>
    <xf numFmtId="39" fontId="21" fillId="0" borderId="100" xfId="9" applyNumberFormat="1" applyFont="1" applyBorder="1" applyAlignment="1" applyProtection="1">
      <alignment horizontal="left"/>
    </xf>
    <xf numFmtId="0" fontId="43" fillId="0" borderId="99" xfId="5" applyFont="1" applyBorder="1"/>
    <xf numFmtId="205" fontId="23" fillId="0" borderId="99" xfId="5" applyNumberFormat="1" applyFont="1" applyFill="1" applyBorder="1" applyAlignment="1">
      <alignment horizontal="center" vertical="center"/>
    </xf>
    <xf numFmtId="0" fontId="21" fillId="0" borderId="99" xfId="5" applyFont="1" applyFill="1" applyBorder="1" applyAlignment="1" applyProtection="1">
      <alignment horizontal="center" vertical="center"/>
      <protection hidden="1"/>
    </xf>
    <xf numFmtId="0" fontId="27" fillId="0" borderId="99" xfId="7" applyNumberFormat="1" applyFont="1" applyFill="1" applyBorder="1" applyAlignment="1">
      <alignment horizontal="center" vertical="center"/>
    </xf>
    <xf numFmtId="0" fontId="23" fillId="0" borderId="99" xfId="5" applyFont="1" applyFill="1" applyBorder="1" applyAlignment="1">
      <alignment vertical="center"/>
    </xf>
    <xf numFmtId="0" fontId="23" fillId="0" borderId="99" xfId="5" applyFont="1" applyBorder="1" applyAlignment="1">
      <alignment vertical="center"/>
    </xf>
    <xf numFmtId="0" fontId="21" fillId="0" borderId="101" xfId="9" applyFont="1" applyFill="1" applyBorder="1" applyProtection="1"/>
    <xf numFmtId="0" fontId="23" fillId="0" borderId="101" xfId="5" applyFont="1" applyFill="1" applyBorder="1" applyAlignment="1">
      <alignment vertical="center"/>
    </xf>
    <xf numFmtId="0" fontId="23" fillId="0" borderId="102" xfId="5" applyFont="1" applyFill="1" applyBorder="1" applyAlignment="1">
      <alignment vertical="center"/>
    </xf>
    <xf numFmtId="41" fontId="27" fillId="0" borderId="99" xfId="7" applyNumberFormat="1" applyFont="1" applyFill="1" applyBorder="1" applyAlignment="1">
      <alignment horizontal="center" vertical="center"/>
    </xf>
    <xf numFmtId="0" fontId="23" fillId="0" borderId="0" xfId="5" applyFont="1" applyFill="1" applyBorder="1" applyAlignment="1" applyProtection="1">
      <alignment horizontal="center" vertical="center"/>
      <protection hidden="1"/>
    </xf>
    <xf numFmtId="39" fontId="21" fillId="0" borderId="0" xfId="9" applyNumberFormat="1" applyFont="1" applyBorder="1" applyAlignment="1" applyProtection="1">
      <alignment horizontal="left"/>
    </xf>
    <xf numFmtId="0" fontId="21" fillId="0" borderId="0" xfId="9" applyFont="1" applyFill="1" applyBorder="1" applyProtection="1"/>
    <xf numFmtId="0" fontId="25" fillId="0" borderId="88" xfId="9" applyFont="1" applyBorder="1" applyProtection="1"/>
    <xf numFmtId="0" fontId="21" fillId="0" borderId="89" xfId="5" applyFont="1" applyFill="1" applyBorder="1" applyAlignment="1">
      <alignment vertical="center"/>
    </xf>
    <xf numFmtId="43" fontId="23" fillId="0" borderId="94" xfId="7" applyFont="1" applyFill="1" applyBorder="1" applyAlignment="1" applyProtection="1">
      <alignment horizontal="center" vertical="center"/>
      <protection hidden="1"/>
    </xf>
    <xf numFmtId="49" fontId="23" fillId="0" borderId="103" xfId="5" applyNumberFormat="1" applyFont="1" applyFill="1" applyBorder="1" applyAlignment="1">
      <alignment horizontal="center" vertical="center"/>
    </xf>
    <xf numFmtId="0" fontId="21" fillId="0" borderId="96" xfId="5" applyFont="1" applyFill="1" applyBorder="1" applyAlignment="1">
      <alignment horizontal="center" vertical="center"/>
    </xf>
    <xf numFmtId="205" fontId="21" fillId="0" borderId="98" xfId="5" applyNumberFormat="1" applyFont="1" applyFill="1" applyBorder="1" applyAlignment="1">
      <alignment horizontal="center" vertical="center"/>
    </xf>
    <xf numFmtId="0" fontId="21" fillId="0" borderId="98" xfId="5" applyFont="1" applyBorder="1" applyAlignment="1">
      <alignment vertical="center"/>
    </xf>
    <xf numFmtId="49" fontId="23" fillId="0" borderId="104" xfId="5" applyNumberFormat="1" applyFont="1" applyFill="1" applyBorder="1" applyAlignment="1">
      <alignment horizontal="center" vertical="center"/>
    </xf>
    <xf numFmtId="39" fontId="21" fillId="0" borderId="105" xfId="9" applyNumberFormat="1" applyFont="1" applyBorder="1" applyAlignment="1" applyProtection="1">
      <alignment horizontal="left"/>
    </xf>
    <xf numFmtId="0" fontId="21" fillId="0" borderId="105" xfId="5" applyFont="1" applyFill="1" applyBorder="1" applyAlignment="1">
      <alignment horizontal="center" vertical="center"/>
    </xf>
    <xf numFmtId="205" fontId="21" fillId="0" borderId="106" xfId="5" applyNumberFormat="1" applyFont="1" applyFill="1" applyBorder="1" applyAlignment="1">
      <alignment horizontal="center" vertical="center"/>
    </xf>
    <xf numFmtId="0" fontId="21" fillId="0" borderId="107" xfId="5" applyFont="1" applyFill="1" applyBorder="1" applyAlignment="1" applyProtection="1">
      <alignment horizontal="center" vertical="center"/>
      <protection hidden="1"/>
    </xf>
    <xf numFmtId="43" fontId="25" fillId="0" borderId="106" xfId="7" applyFont="1" applyFill="1" applyBorder="1" applyAlignment="1">
      <alignment horizontal="center" vertical="center"/>
    </xf>
    <xf numFmtId="0" fontId="21" fillId="0" borderId="106" xfId="5" applyFont="1" applyBorder="1" applyAlignment="1">
      <alignment vertical="center"/>
    </xf>
    <xf numFmtId="0" fontId="21" fillId="0" borderId="55" xfId="5" applyFont="1" applyFill="1" applyBorder="1" applyAlignment="1">
      <alignment horizontal="center" vertical="center"/>
    </xf>
    <xf numFmtId="205" fontId="21" fillId="0" borderId="55" xfId="5" applyNumberFormat="1" applyFont="1" applyFill="1" applyBorder="1" applyAlignment="1">
      <alignment horizontal="center" vertical="center"/>
    </xf>
    <xf numFmtId="0" fontId="21" fillId="0" borderId="55" xfId="5" applyFont="1" applyFill="1" applyBorder="1" applyAlignment="1" applyProtection="1">
      <alignment horizontal="center" vertical="center"/>
      <protection hidden="1"/>
    </xf>
    <xf numFmtId="43" fontId="25" fillId="0" borderId="55" xfId="7" applyFont="1" applyFill="1" applyBorder="1" applyAlignment="1">
      <alignment horizontal="center" vertical="center"/>
    </xf>
    <xf numFmtId="0" fontId="21" fillId="0" borderId="0" xfId="5" applyFont="1" applyFill="1" applyBorder="1" applyAlignment="1" applyProtection="1">
      <alignment horizontal="center" vertical="center"/>
      <protection hidden="1"/>
    </xf>
    <xf numFmtId="43" fontId="25" fillId="0" borderId="0" xfId="7" applyFont="1" applyFill="1" applyBorder="1" applyAlignment="1">
      <alignment horizontal="center" vertical="center"/>
    </xf>
    <xf numFmtId="43" fontId="25" fillId="0" borderId="0" xfId="7" applyNumberFormat="1" applyFont="1" applyFill="1" applyBorder="1" applyAlignment="1">
      <alignment horizontal="right" vertical="center"/>
    </xf>
    <xf numFmtId="49" fontId="25" fillId="0" borderId="0" xfId="5" applyNumberFormat="1" applyFont="1" applyFill="1" applyBorder="1" applyAlignment="1">
      <alignment horizontal="center" vertical="center"/>
    </xf>
    <xf numFmtId="0" fontId="25" fillId="0" borderId="0" xfId="5" applyFont="1" applyBorder="1"/>
    <xf numFmtId="0" fontId="21" fillId="0" borderId="0" xfId="5" applyFont="1" applyBorder="1"/>
    <xf numFmtId="1" fontId="25" fillId="0" borderId="0" xfId="7" applyNumberFormat="1" applyFont="1" applyFill="1" applyBorder="1" applyAlignment="1">
      <alignment horizontal="center" vertical="center"/>
    </xf>
    <xf numFmtId="0" fontId="48" fillId="0" borderId="0" xfId="4" applyFont="1" applyBorder="1" applyAlignment="1">
      <alignment vertical="center"/>
    </xf>
    <xf numFmtId="0" fontId="21" fillId="0" borderId="0" xfId="4" applyFont="1" applyBorder="1" applyAlignment="1">
      <alignment vertical="center"/>
    </xf>
    <xf numFmtId="4" fontId="23" fillId="0" borderId="0" xfId="3" applyFont="1" applyFill="1" applyProtection="1"/>
    <xf numFmtId="189" fontId="23" fillId="0" borderId="0" xfId="2" applyNumberFormat="1" applyFont="1" applyAlignment="1" applyProtection="1">
      <alignment horizontal="left"/>
    </xf>
    <xf numFmtId="189" fontId="23" fillId="0" borderId="0" xfId="2" applyNumberFormat="1" applyFont="1" applyAlignment="1" applyProtection="1">
      <alignment horizontal="center"/>
    </xf>
    <xf numFmtId="0" fontId="21" fillId="0" borderId="0" xfId="0" applyFont="1" applyAlignment="1" applyProtection="1">
      <alignment vertical="center"/>
    </xf>
    <xf numFmtId="0" fontId="58" fillId="0" borderId="0" xfId="4" applyFont="1" applyProtection="1"/>
    <xf numFmtId="0" fontId="58" fillId="0" borderId="0" xfId="4" applyFont="1"/>
    <xf numFmtId="0" fontId="67" fillId="0" borderId="5" xfId="4" applyFont="1" applyBorder="1" applyProtection="1"/>
    <xf numFmtId="0" fontId="67" fillId="0" borderId="0" xfId="4" applyFont="1" applyProtection="1"/>
    <xf numFmtId="0" fontId="67" fillId="0" borderId="0" xfId="4" applyFont="1" applyBorder="1" applyProtection="1"/>
    <xf numFmtId="0" fontId="68" fillId="0" borderId="0" xfId="4" applyFont="1" applyBorder="1" applyAlignment="1" applyProtection="1">
      <alignment horizontal="center"/>
    </xf>
    <xf numFmtId="0" fontId="58" fillId="0" borderId="0" xfId="4" applyFont="1" applyBorder="1" applyProtection="1"/>
    <xf numFmtId="0" fontId="58" fillId="0" borderId="53" xfId="4" applyFont="1" applyBorder="1" applyProtection="1"/>
    <xf numFmtId="0" fontId="58" fillId="0" borderId="55" xfId="4" applyFont="1" applyBorder="1" applyProtection="1"/>
    <xf numFmtId="0" fontId="58" fillId="0" borderId="5" xfId="4" applyFont="1" applyBorder="1" applyProtection="1"/>
    <xf numFmtId="0" fontId="25" fillId="0" borderId="70" xfId="4" applyFont="1" applyBorder="1" applyProtection="1"/>
    <xf numFmtId="0" fontId="25" fillId="0" borderId="62" xfId="4" applyFont="1" applyBorder="1" applyAlignment="1" applyProtection="1">
      <alignment horizontal="center"/>
    </xf>
    <xf numFmtId="0" fontId="25" fillId="0" borderId="0" xfId="4" applyFont="1" applyAlignment="1" applyProtection="1">
      <alignment horizontal="center"/>
    </xf>
    <xf numFmtId="0" fontId="25" fillId="0" borderId="0" xfId="4" applyFont="1" applyBorder="1" applyAlignment="1" applyProtection="1">
      <alignment horizontal="center"/>
    </xf>
    <xf numFmtId="0" fontId="25" fillId="14" borderId="62" xfId="4" applyFont="1" applyFill="1" applyBorder="1" applyProtection="1"/>
    <xf numFmtId="0" fontId="58" fillId="0" borderId="70" xfId="4" applyFont="1" applyBorder="1" applyAlignment="1" applyProtection="1">
      <alignment horizontal="center"/>
    </xf>
    <xf numFmtId="0" fontId="58" fillId="0" borderId="16" xfId="4" applyFont="1" applyBorder="1" applyAlignment="1" applyProtection="1">
      <alignment horizontal="center"/>
    </xf>
    <xf numFmtId="0" fontId="58" fillId="0" borderId="62" xfId="4" applyFont="1" applyBorder="1" applyProtection="1"/>
    <xf numFmtId="0" fontId="58" fillId="0" borderId="70" xfId="4" applyFont="1" applyBorder="1" applyProtection="1"/>
    <xf numFmtId="201" fontId="70" fillId="15" borderId="16" xfId="4" applyNumberFormat="1" applyFont="1" applyFill="1" applyBorder="1" applyProtection="1"/>
    <xf numFmtId="0" fontId="58" fillId="14" borderId="70" xfId="4" applyFont="1" applyFill="1" applyBorder="1" applyProtection="1"/>
    <xf numFmtId="201" fontId="70" fillId="14" borderId="16" xfId="4" applyNumberFormat="1" applyFont="1" applyFill="1" applyBorder="1" applyProtection="1"/>
    <xf numFmtId="0" fontId="58" fillId="14" borderId="62" xfId="4" applyFont="1" applyFill="1" applyBorder="1" applyProtection="1"/>
    <xf numFmtId="201" fontId="70" fillId="0" borderId="16" xfId="4" applyNumberFormat="1" applyFont="1" applyBorder="1" applyProtection="1"/>
    <xf numFmtId="0" fontId="71" fillId="0" borderId="0" xfId="4" applyFont="1" applyProtection="1"/>
    <xf numFmtId="0" fontId="71" fillId="0" borderId="70" xfId="4" applyFont="1" applyBorder="1" applyProtection="1"/>
    <xf numFmtId="2" fontId="70" fillId="15" borderId="16" xfId="4" applyNumberFormat="1" applyFont="1" applyFill="1" applyBorder="1" applyProtection="1"/>
    <xf numFmtId="2" fontId="70" fillId="14" borderId="16" xfId="4" applyNumberFormat="1" applyFont="1" applyFill="1" applyBorder="1" applyProtection="1"/>
    <xf numFmtId="2" fontId="70" fillId="0" borderId="16" xfId="4" applyNumberFormat="1" applyFont="1" applyBorder="1" applyProtection="1"/>
    <xf numFmtId="43" fontId="58" fillId="0" borderId="0" xfId="4" applyNumberFormat="1" applyFont="1" applyProtection="1"/>
    <xf numFmtId="43" fontId="58" fillId="0" borderId="70" xfId="4" applyNumberFormat="1" applyFont="1" applyBorder="1" applyProtection="1"/>
    <xf numFmtId="199" fontId="58" fillId="0" borderId="16" xfId="1" applyNumberFormat="1" applyFont="1" applyBorder="1" applyProtection="1"/>
    <xf numFmtId="199" fontId="58" fillId="0" borderId="62" xfId="1" applyNumberFormat="1" applyFont="1" applyBorder="1" applyProtection="1"/>
    <xf numFmtId="199" fontId="58" fillId="0" borderId="0" xfId="1" applyNumberFormat="1" applyFont="1" applyProtection="1"/>
    <xf numFmtId="199" fontId="58" fillId="0" borderId="70" xfId="1" applyNumberFormat="1" applyFont="1" applyBorder="1" applyProtection="1"/>
    <xf numFmtId="199" fontId="58" fillId="0" borderId="0" xfId="1" applyNumberFormat="1" applyFont="1" applyBorder="1" applyProtection="1"/>
    <xf numFmtId="199" fontId="58" fillId="14" borderId="70" xfId="1" applyNumberFormat="1" applyFont="1" applyFill="1" applyBorder="1" applyProtection="1"/>
    <xf numFmtId="199" fontId="58" fillId="14" borderId="16" xfId="1" applyNumberFormat="1" applyFont="1" applyFill="1" applyBorder="1" applyProtection="1"/>
    <xf numFmtId="0" fontId="58" fillId="0" borderId="0" xfId="4" applyFont="1" applyBorder="1" applyAlignment="1" applyProtection="1">
      <alignment horizontal="right"/>
    </xf>
    <xf numFmtId="199" fontId="68" fillId="0" borderId="16" xfId="4" applyNumberFormat="1" applyFont="1" applyBorder="1" applyProtection="1"/>
    <xf numFmtId="43" fontId="71" fillId="0" borderId="0" xfId="4" applyNumberFormat="1" applyFont="1" applyProtection="1"/>
    <xf numFmtId="43" fontId="71" fillId="0" borderId="70" xfId="4" applyNumberFormat="1" applyFont="1" applyBorder="1" applyProtection="1"/>
    <xf numFmtId="199" fontId="58" fillId="14" borderId="0" xfId="1" applyNumberFormat="1" applyFont="1" applyFill="1" applyBorder="1" applyProtection="1"/>
    <xf numFmtId="43" fontId="58" fillId="12" borderId="64" xfId="4" applyNumberFormat="1" applyFont="1" applyFill="1" applyBorder="1" applyProtection="1"/>
    <xf numFmtId="43" fontId="70" fillId="15" borderId="16" xfId="1" applyNumberFormat="1" applyFont="1" applyFill="1" applyBorder="1" applyProtection="1"/>
    <xf numFmtId="207" fontId="70" fillId="15" borderId="16" xfId="1" applyNumberFormat="1" applyFont="1" applyFill="1" applyBorder="1" applyProtection="1"/>
    <xf numFmtId="0" fontId="72" fillId="14" borderId="70" xfId="4" applyFont="1" applyFill="1" applyBorder="1" applyProtection="1"/>
    <xf numFmtId="43" fontId="72" fillId="14" borderId="0" xfId="1" applyNumberFormat="1" applyFont="1" applyFill="1" applyBorder="1" applyProtection="1"/>
    <xf numFmtId="199" fontId="72" fillId="14" borderId="62" xfId="1" applyNumberFormat="1" applyFont="1" applyFill="1" applyBorder="1" applyProtection="1"/>
    <xf numFmtId="199" fontId="72" fillId="0" borderId="0" xfId="1" applyNumberFormat="1" applyFont="1" applyBorder="1" applyProtection="1"/>
    <xf numFmtId="43" fontId="70" fillId="0" borderId="16" xfId="1" applyNumberFormat="1" applyFont="1" applyBorder="1" applyProtection="1"/>
    <xf numFmtId="43" fontId="72" fillId="14" borderId="0" xfId="1" applyFont="1" applyFill="1" applyBorder="1" applyProtection="1"/>
    <xf numFmtId="0" fontId="72" fillId="14" borderId="62" xfId="4" applyFont="1" applyFill="1" applyBorder="1" applyProtection="1"/>
    <xf numFmtId="0" fontId="72" fillId="0" borderId="0" xfId="4" applyFont="1" applyBorder="1" applyProtection="1"/>
    <xf numFmtId="43" fontId="68" fillId="0" borderId="16" xfId="4" applyNumberFormat="1" applyFont="1" applyBorder="1" applyProtection="1"/>
    <xf numFmtId="43" fontId="58" fillId="0" borderId="16" xfId="1" applyFont="1" applyBorder="1" applyProtection="1"/>
    <xf numFmtId="0" fontId="71" fillId="0" borderId="0" xfId="4" applyFont="1" applyBorder="1" applyProtection="1"/>
    <xf numFmtId="0" fontId="71" fillId="0" borderId="62" xfId="4" applyFont="1" applyBorder="1" applyProtection="1"/>
    <xf numFmtId="0" fontId="71" fillId="14" borderId="70" xfId="4" applyFont="1" applyFill="1" applyBorder="1" applyProtection="1"/>
    <xf numFmtId="0" fontId="71" fillId="14" borderId="0" xfId="4" applyFont="1" applyFill="1" applyBorder="1" applyProtection="1"/>
    <xf numFmtId="0" fontId="71" fillId="14" borderId="62" xfId="4" applyFont="1" applyFill="1" applyBorder="1" applyProtection="1"/>
    <xf numFmtId="0" fontId="58" fillId="0" borderId="54" xfId="4" applyFont="1" applyBorder="1" applyProtection="1"/>
    <xf numFmtId="0" fontId="58" fillId="0" borderId="51" xfId="4" applyFont="1" applyBorder="1" applyProtection="1"/>
    <xf numFmtId="199" fontId="58" fillId="0" borderId="51" xfId="1" applyNumberFormat="1" applyFont="1" applyBorder="1" applyProtection="1"/>
    <xf numFmtId="199" fontId="58" fillId="0" borderId="8" xfId="1" applyNumberFormat="1" applyFont="1" applyBorder="1" applyProtection="1"/>
    <xf numFmtId="199" fontId="58" fillId="0" borderId="54" xfId="1" applyNumberFormat="1" applyFont="1" applyBorder="1" applyProtection="1"/>
    <xf numFmtId="199" fontId="58" fillId="14" borderId="54" xfId="1" applyNumberFormat="1" applyFont="1" applyFill="1" applyBorder="1" applyProtection="1"/>
    <xf numFmtId="199" fontId="58" fillId="14" borderId="51" xfId="1" applyNumberFormat="1" applyFont="1" applyFill="1" applyBorder="1" applyProtection="1"/>
    <xf numFmtId="0" fontId="58" fillId="14" borderId="8" xfId="4" applyFont="1" applyFill="1" applyBorder="1" applyProtection="1"/>
    <xf numFmtId="199" fontId="71" fillId="0" borderId="0" xfId="1" applyNumberFormat="1" applyFont="1" applyProtection="1"/>
    <xf numFmtId="0" fontId="71" fillId="0" borderId="55" xfId="4" applyFont="1" applyBorder="1" applyProtection="1"/>
    <xf numFmtId="199" fontId="71" fillId="0" borderId="55" xfId="1" applyNumberFormat="1" applyFont="1" applyBorder="1" applyProtection="1"/>
    <xf numFmtId="0" fontId="71" fillId="0" borderId="5" xfId="4" applyFont="1" applyBorder="1" applyProtection="1"/>
    <xf numFmtId="41" fontId="58" fillId="0" borderId="0" xfId="4" applyNumberFormat="1" applyFont="1" applyBorder="1" applyProtection="1"/>
    <xf numFmtId="41" fontId="58" fillId="0" borderId="70" xfId="4" applyNumberFormat="1" applyFont="1" applyBorder="1" applyProtection="1"/>
    <xf numFmtId="0" fontId="25" fillId="0" borderId="0" xfId="4" applyFont="1" applyBorder="1" applyProtection="1"/>
    <xf numFmtId="199" fontId="25" fillId="0" borderId="0" xfId="1" applyNumberFormat="1" applyFont="1" applyBorder="1" applyProtection="1"/>
    <xf numFmtId="199" fontId="30" fillId="0" borderId="16" xfId="1" applyNumberFormat="1" applyFont="1" applyBorder="1" applyProtection="1"/>
    <xf numFmtId="199" fontId="67" fillId="0" borderId="16" xfId="1" applyNumberFormat="1" applyFont="1" applyBorder="1" applyProtection="1"/>
    <xf numFmtId="199" fontId="25" fillId="0" borderId="62" xfId="1" applyNumberFormat="1" applyFont="1" applyBorder="1" applyProtection="1"/>
    <xf numFmtId="199" fontId="58" fillId="0" borderId="0" xfId="4" applyNumberFormat="1" applyFont="1" applyBorder="1" applyProtection="1"/>
    <xf numFmtId="0" fontId="25" fillId="0" borderId="51" xfId="4" applyFont="1" applyBorder="1" applyProtection="1"/>
    <xf numFmtId="199" fontId="25" fillId="0" borderId="51" xfId="1" applyNumberFormat="1" applyFont="1" applyBorder="1" applyProtection="1"/>
    <xf numFmtId="199" fontId="67" fillId="0" borderId="51" xfId="1" applyNumberFormat="1" applyFont="1" applyBorder="1" applyProtection="1"/>
    <xf numFmtId="0" fontId="25" fillId="0" borderId="8" xfId="4" applyFont="1" applyBorder="1" applyProtection="1"/>
    <xf numFmtId="0" fontId="25" fillId="0" borderId="0" xfId="4" applyFont="1" applyProtection="1"/>
    <xf numFmtId="199" fontId="25" fillId="0" borderId="0" xfId="1" applyNumberFormat="1" applyFont="1" applyProtection="1"/>
    <xf numFmtId="199" fontId="67" fillId="0" borderId="0" xfId="1" applyNumberFormat="1" applyFont="1" applyProtection="1"/>
    <xf numFmtId="0" fontId="30" fillId="0" borderId="55" xfId="4" applyFont="1" applyBorder="1" applyProtection="1"/>
    <xf numFmtId="199" fontId="30" fillId="0" borderId="55" xfId="1" applyNumberFormat="1" applyFont="1" applyBorder="1" applyProtection="1"/>
    <xf numFmtId="199" fontId="67" fillId="0" borderId="55" xfId="1" applyNumberFormat="1" applyFont="1" applyBorder="1" applyProtection="1"/>
    <xf numFmtId="0" fontId="30" fillId="0" borderId="5" xfId="4" applyFont="1" applyBorder="1" applyProtection="1"/>
    <xf numFmtId="0" fontId="30" fillId="0" borderId="0" xfId="4" applyFont="1" applyBorder="1" applyProtection="1"/>
    <xf numFmtId="0" fontId="58" fillId="0" borderId="8" xfId="4" applyFont="1" applyBorder="1" applyProtection="1"/>
    <xf numFmtId="199" fontId="30" fillId="15" borderId="16" xfId="1" applyNumberFormat="1" applyFont="1" applyFill="1" applyBorder="1" applyProtection="1"/>
    <xf numFmtId="199" fontId="30" fillId="0" borderId="0" xfId="1" applyNumberFormat="1" applyFont="1" applyBorder="1" applyProtection="1"/>
    <xf numFmtId="199" fontId="67" fillId="0" borderId="0" xfId="1" applyNumberFormat="1" applyFont="1" applyBorder="1" applyProtection="1"/>
    <xf numFmtId="43" fontId="58" fillId="0" borderId="16" xfId="4" applyNumberFormat="1" applyFont="1" applyBorder="1" applyProtection="1"/>
    <xf numFmtId="0" fontId="74" fillId="0" borderId="0" xfId="4" applyFont="1" applyProtection="1"/>
    <xf numFmtId="0" fontId="58" fillId="0" borderId="62" xfId="4" applyFont="1" applyBorder="1" applyAlignment="1" applyProtection="1">
      <alignment horizontal="center"/>
    </xf>
    <xf numFmtId="199" fontId="58" fillId="0" borderId="62" xfId="1" applyNumberFormat="1" applyFont="1" applyBorder="1" applyAlignment="1" applyProtection="1">
      <alignment horizontal="center"/>
    </xf>
    <xf numFmtId="0" fontId="71" fillId="0" borderId="62" xfId="4" applyFont="1" applyBorder="1" applyAlignment="1" applyProtection="1">
      <alignment horizontal="center"/>
    </xf>
    <xf numFmtId="199" fontId="58" fillId="0" borderId="8" xfId="1" applyNumberFormat="1" applyFont="1" applyBorder="1" applyAlignment="1" applyProtection="1">
      <alignment horizontal="center"/>
    </xf>
    <xf numFmtId="0" fontId="58" fillId="0" borderId="0" xfId="1" applyNumberFormat="1" applyFont="1" applyBorder="1" applyAlignment="1" applyProtection="1">
      <alignment horizontal="left"/>
    </xf>
    <xf numFmtId="0" fontId="58" fillId="0" borderId="70" xfId="1" applyNumberFormat="1" applyFont="1" applyBorder="1" applyProtection="1"/>
    <xf numFmtId="0" fontId="58" fillId="14" borderId="70" xfId="1" applyNumberFormat="1" applyFont="1" applyFill="1" applyBorder="1" applyProtection="1"/>
    <xf numFmtId="0" fontId="21" fillId="0" borderId="0" xfId="0" applyFont="1"/>
    <xf numFmtId="0" fontId="21" fillId="0" borderId="0" xfId="0" applyFont="1" applyBorder="1"/>
    <xf numFmtId="43" fontId="58" fillId="0" borderId="0" xfId="4" applyNumberFormat="1" applyFont="1" applyBorder="1" applyProtection="1"/>
    <xf numFmtId="43" fontId="71" fillId="0" borderId="0" xfId="4" applyNumberFormat="1" applyFont="1" applyBorder="1" applyProtection="1"/>
    <xf numFmtId="0" fontId="0" fillId="0" borderId="0" xfId="0" applyBorder="1"/>
    <xf numFmtId="0" fontId="33" fillId="0" borderId="0" xfId="0" applyFont="1" applyBorder="1"/>
    <xf numFmtId="0" fontId="58" fillId="0" borderId="0" xfId="0" applyFont="1" applyBorder="1"/>
    <xf numFmtId="201" fontId="33" fillId="14" borderId="16" xfId="0" applyNumberFormat="1" applyFont="1" applyFill="1" applyBorder="1" applyAlignment="1">
      <alignment horizontal="center"/>
    </xf>
    <xf numFmtId="189" fontId="33" fillId="14" borderId="16" xfId="0" applyNumberFormat="1" applyFont="1" applyFill="1" applyBorder="1" applyAlignment="1">
      <alignment horizontal="center"/>
    </xf>
    <xf numFmtId="2" fontId="33" fillId="0" borderId="16" xfId="0" applyNumberFormat="1" applyFont="1" applyBorder="1" applyAlignment="1">
      <alignment horizontal="center"/>
    </xf>
    <xf numFmtId="189" fontId="33" fillId="0" borderId="16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Border="1" applyAlignment="1"/>
    <xf numFmtId="49" fontId="21" fillId="0" borderId="0" xfId="0" applyNumberFormat="1" applyFont="1" applyBorder="1" applyAlignment="1">
      <alignment horizontal="left" vertical="center"/>
    </xf>
    <xf numFmtId="4" fontId="22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49" fontId="21" fillId="0" borderId="0" xfId="0" applyNumberFormat="1" applyFont="1" applyBorder="1" applyAlignment="1">
      <alignment vertical="center"/>
    </xf>
    <xf numFmtId="4" fontId="33" fillId="0" borderId="16" xfId="0" applyNumberFormat="1" applyFont="1" applyBorder="1" applyAlignment="1">
      <alignment horizontal="center"/>
    </xf>
    <xf numFmtId="2" fontId="33" fillId="14" borderId="16" xfId="0" applyNumberFormat="1" applyFont="1" applyFill="1" applyBorder="1" applyAlignment="1">
      <alignment horizontal="center"/>
    </xf>
    <xf numFmtId="201" fontId="33" fillId="14" borderId="15" xfId="0" applyNumberFormat="1" applyFont="1" applyFill="1" applyBorder="1" applyAlignment="1">
      <alignment horizontal="center"/>
    </xf>
    <xf numFmtId="0" fontId="58" fillId="0" borderId="27" xfId="4" applyFont="1" applyBorder="1" applyProtection="1"/>
    <xf numFmtId="0" fontId="58" fillId="0" borderId="17" xfId="0" applyFont="1" applyBorder="1" applyAlignment="1">
      <alignment horizontal="center"/>
    </xf>
    <xf numFmtId="0" fontId="71" fillId="0" borderId="27" xfId="4" applyFont="1" applyBorder="1" applyProtection="1"/>
    <xf numFmtId="43" fontId="58" fillId="0" borderId="27" xfId="4" applyNumberFormat="1" applyFont="1" applyBorder="1" applyProtection="1"/>
    <xf numFmtId="43" fontId="71" fillId="0" borderId="27" xfId="4" applyNumberFormat="1" applyFont="1" applyBorder="1" applyProtection="1"/>
    <xf numFmtId="0" fontId="58" fillId="0" borderId="26" xfId="4" applyFont="1" applyBorder="1" applyProtection="1"/>
    <xf numFmtId="0" fontId="33" fillId="0" borderId="29" xfId="0" applyFont="1" applyBorder="1"/>
    <xf numFmtId="0" fontId="33" fillId="0" borderId="14" xfId="0" applyFont="1" applyBorder="1"/>
    <xf numFmtId="0" fontId="33" fillId="0" borderId="17" xfId="0" applyFont="1" applyBorder="1" applyAlignment="1">
      <alignment horizontal="center"/>
    </xf>
    <xf numFmtId="4" fontId="58" fillId="0" borderId="16" xfId="0" applyNumberFormat="1" applyFont="1" applyBorder="1" applyAlignment="1">
      <alignment horizontal="center"/>
    </xf>
    <xf numFmtId="0" fontId="21" fillId="0" borderId="0" xfId="4" applyFont="1" applyBorder="1" applyProtection="1"/>
    <xf numFmtId="189" fontId="22" fillId="0" borderId="0" xfId="0" applyNumberFormat="1" applyFont="1" applyFill="1" applyBorder="1" applyAlignment="1">
      <alignment horizontal="center"/>
    </xf>
    <xf numFmtId="4" fontId="21" fillId="0" borderId="0" xfId="0" applyNumberFormat="1" applyFont="1" applyFill="1" applyBorder="1" applyAlignment="1">
      <alignment horizontal="center"/>
    </xf>
    <xf numFmtId="0" fontId="43" fillId="0" borderId="62" xfId="5" applyFont="1" applyBorder="1"/>
    <xf numFmtId="0" fontId="47" fillId="0" borderId="0" xfId="5" applyFont="1" applyFill="1" applyBorder="1" applyAlignment="1">
      <alignment vertical="center"/>
    </xf>
    <xf numFmtId="0" fontId="47" fillId="0" borderId="62" xfId="5" applyFont="1" applyFill="1" applyBorder="1" applyAlignment="1">
      <alignment vertical="center"/>
    </xf>
    <xf numFmtId="0" fontId="21" fillId="0" borderId="0" xfId="5" applyFont="1" applyFill="1" applyBorder="1" applyAlignment="1">
      <alignment horizontal="center" vertical="center"/>
    </xf>
    <xf numFmtId="0" fontId="23" fillId="0" borderId="110" xfId="5" applyFont="1" applyFill="1" applyBorder="1" applyAlignment="1">
      <alignment vertical="center"/>
    </xf>
    <xf numFmtId="4" fontId="25" fillId="0" borderId="90" xfId="7" applyNumberFormat="1" applyFont="1" applyFill="1" applyBorder="1" applyAlignment="1">
      <alignment horizontal="center" vertical="center"/>
    </xf>
    <xf numFmtId="4" fontId="25" fillId="0" borderId="98" xfId="7" applyNumberFormat="1" applyFont="1" applyFill="1" applyBorder="1" applyAlignment="1">
      <alignment horizontal="center" vertical="center"/>
    </xf>
    <xf numFmtId="1" fontId="21" fillId="0" borderId="92" xfId="5" applyNumberFormat="1" applyFont="1" applyFill="1" applyBorder="1" applyAlignment="1">
      <alignment horizontal="center" vertical="center"/>
    </xf>
    <xf numFmtId="4" fontId="21" fillId="0" borderId="94" xfId="7" applyNumberFormat="1" applyFont="1" applyFill="1" applyBorder="1" applyAlignment="1">
      <alignment horizontal="center" vertical="center"/>
    </xf>
    <xf numFmtId="0" fontId="21" fillId="0" borderId="90" xfId="7" applyNumberFormat="1" applyFont="1" applyFill="1" applyBorder="1" applyAlignment="1">
      <alignment horizontal="center" vertical="center"/>
    </xf>
    <xf numFmtId="43" fontId="33" fillId="0" borderId="0" xfId="1" applyFont="1" applyBorder="1"/>
    <xf numFmtId="43" fontId="58" fillId="0" borderId="16" xfId="1" applyFont="1" applyBorder="1" applyAlignment="1">
      <alignment horizontal="center"/>
    </xf>
    <xf numFmtId="0" fontId="21" fillId="0" borderId="0" xfId="5" applyFont="1" applyAlignment="1">
      <alignment horizontal="left" vertical="center"/>
    </xf>
    <xf numFmtId="0" fontId="21" fillId="0" borderId="90" xfId="5" applyFont="1" applyFill="1" applyBorder="1" applyAlignment="1">
      <alignment horizontal="center" vertical="center"/>
    </xf>
    <xf numFmtId="2" fontId="33" fillId="0" borderId="16" xfId="1" applyNumberFormat="1" applyFont="1" applyBorder="1" applyAlignment="1">
      <alignment horizontal="center"/>
    </xf>
    <xf numFmtId="189" fontId="33" fillId="0" borderId="16" xfId="1" applyNumberFormat="1" applyFont="1" applyBorder="1" applyAlignment="1">
      <alignment horizontal="center"/>
    </xf>
    <xf numFmtId="2" fontId="33" fillId="14" borderId="16" xfId="1" applyNumberFormat="1" applyFont="1" applyFill="1" applyBorder="1" applyAlignment="1">
      <alignment horizontal="center"/>
    </xf>
    <xf numFmtId="189" fontId="33" fillId="14" borderId="16" xfId="1" applyNumberFormat="1" applyFont="1" applyFill="1" applyBorder="1" applyAlignment="1">
      <alignment horizontal="center"/>
    </xf>
    <xf numFmtId="201" fontId="33" fillId="14" borderId="15" xfId="1" applyNumberFormat="1" applyFont="1" applyFill="1" applyBorder="1" applyAlignment="1">
      <alignment horizontal="center"/>
    </xf>
    <xf numFmtId="201" fontId="33" fillId="14" borderId="16" xfId="1" applyNumberFormat="1" applyFont="1" applyFill="1" applyBorder="1" applyAlignment="1">
      <alignment horizontal="center"/>
    </xf>
    <xf numFmtId="4" fontId="33" fillId="0" borderId="16" xfId="1" applyNumberFormat="1" applyFont="1" applyBorder="1" applyAlignment="1">
      <alignment horizontal="center"/>
    </xf>
    <xf numFmtId="0" fontId="43" fillId="0" borderId="17" xfId="5" applyFont="1" applyBorder="1"/>
    <xf numFmtId="1" fontId="23" fillId="0" borderId="90" xfId="7" applyNumberFormat="1" applyFont="1" applyFill="1" applyBorder="1" applyAlignment="1">
      <alignment horizontal="center" vertical="center"/>
    </xf>
    <xf numFmtId="1" fontId="21" fillId="0" borderId="90" xfId="7" applyNumberFormat="1" applyFont="1" applyFill="1" applyBorder="1" applyAlignment="1">
      <alignment horizontal="center" vertical="center"/>
    </xf>
    <xf numFmtId="39" fontId="4" fillId="0" borderId="0" xfId="2" applyFont="1" applyBorder="1"/>
    <xf numFmtId="2" fontId="10" fillId="18" borderId="14" xfId="2" applyNumberFormat="1" applyFont="1" applyFill="1" applyBorder="1" applyAlignment="1" applyProtection="1">
      <alignment horizontal="center"/>
    </xf>
    <xf numFmtId="2" fontId="10" fillId="18" borderId="14" xfId="2" applyNumberFormat="1" applyFont="1" applyFill="1" applyBorder="1" applyAlignment="1">
      <alignment horizontal="center"/>
    </xf>
    <xf numFmtId="0" fontId="7" fillId="18" borderId="10" xfId="0" applyFont="1" applyFill="1" applyBorder="1"/>
    <xf numFmtId="39" fontId="11" fillId="0" borderId="2" xfId="2" applyFont="1" applyBorder="1"/>
    <xf numFmtId="0" fontId="11" fillId="0" borderId="2" xfId="0" applyFont="1" applyBorder="1"/>
    <xf numFmtId="0" fontId="38" fillId="0" borderId="0" xfId="0" applyFont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left"/>
    </xf>
    <xf numFmtId="2" fontId="38" fillId="0" borderId="0" xfId="0" applyNumberFormat="1" applyFont="1" applyAlignment="1">
      <alignment horizontal="center"/>
    </xf>
    <xf numFmtId="3" fontId="38" fillId="0" borderId="0" xfId="0" applyNumberFormat="1" applyFont="1" applyAlignment="1">
      <alignment horizontal="center"/>
    </xf>
    <xf numFmtId="4" fontId="38" fillId="0" borderId="0" xfId="0" applyNumberFormat="1" applyFont="1"/>
    <xf numFmtId="39" fontId="38" fillId="0" borderId="0" xfId="0" applyNumberFormat="1" applyFont="1" applyAlignment="1" applyProtection="1">
      <alignment horizontal="left" vertical="center"/>
    </xf>
    <xf numFmtId="0" fontId="46" fillId="0" borderId="0" xfId="5" applyFont="1" applyFill="1" applyBorder="1" applyAlignment="1">
      <alignment horizontal="center" vertical="center"/>
    </xf>
    <xf numFmtId="189" fontId="51" fillId="0" borderId="0" xfId="5" applyNumberFormat="1" applyFont="1" applyBorder="1" applyAlignment="1">
      <alignment vertical="center"/>
    </xf>
    <xf numFmtId="0" fontId="51" fillId="0" borderId="0" xfId="5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left" vertical="center"/>
    </xf>
    <xf numFmtId="0" fontId="21" fillId="0" borderId="70" xfId="5" applyFont="1" applyFill="1" applyBorder="1" applyAlignment="1">
      <alignment horizontal="center" vertical="center"/>
    </xf>
    <xf numFmtId="0" fontId="21" fillId="0" borderId="29" xfId="5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center" vertical="center"/>
    </xf>
    <xf numFmtId="201" fontId="21" fillId="0" borderId="0" xfId="0" applyNumberFormat="1" applyFont="1" applyFill="1" applyBorder="1" applyAlignment="1" applyProtection="1">
      <alignment horizontal="center"/>
    </xf>
    <xf numFmtId="0" fontId="46" fillId="0" borderId="0" xfId="5" applyFont="1" applyBorder="1" applyAlignment="1">
      <alignment horizontal="left"/>
    </xf>
    <xf numFmtId="0" fontId="56" fillId="0" borderId="0" xfId="5" applyFont="1" applyBorder="1"/>
    <xf numFmtId="0" fontId="21" fillId="0" borderId="14" xfId="5" applyFont="1" applyFill="1" applyBorder="1" applyAlignment="1">
      <alignment horizontal="right" vertical="center"/>
    </xf>
    <xf numFmtId="0" fontId="21" fillId="0" borderId="73" xfId="5" applyFont="1" applyFill="1" applyBorder="1" applyAlignment="1">
      <alignment horizontal="right" vertical="center"/>
    </xf>
    <xf numFmtId="0" fontId="21" fillId="0" borderId="8" xfId="5" applyFont="1" applyFill="1" applyBorder="1" applyAlignment="1">
      <alignment horizontal="right" vertical="center"/>
    </xf>
    <xf numFmtId="0" fontId="21" fillId="0" borderId="27" xfId="5" applyFont="1" applyFill="1" applyBorder="1" applyAlignment="1">
      <alignment horizontal="left" vertical="center"/>
    </xf>
    <xf numFmtId="0" fontId="21" fillId="0" borderId="110" xfId="5" applyFont="1" applyFill="1" applyBorder="1" applyAlignment="1">
      <alignment vertical="center"/>
    </xf>
    <xf numFmtId="0" fontId="21" fillId="0" borderId="15" xfId="5" applyFont="1" applyFill="1" applyBorder="1" applyAlignment="1">
      <alignment vertical="center"/>
    </xf>
    <xf numFmtId="0" fontId="21" fillId="0" borderId="0" xfId="5" applyFont="1"/>
    <xf numFmtId="0" fontId="21" fillId="0" borderId="62" xfId="5" applyFont="1" applyBorder="1"/>
    <xf numFmtId="0" fontId="21" fillId="0" borderId="16" xfId="5" applyFont="1" applyFill="1" applyBorder="1" applyAlignment="1">
      <alignment vertical="center"/>
    </xf>
    <xf numFmtId="0" fontId="21" fillId="0" borderId="15" xfId="5" applyFont="1" applyFill="1" applyBorder="1" applyAlignment="1">
      <alignment horizontal="center" vertical="center"/>
    </xf>
    <xf numFmtId="0" fontId="21" fillId="0" borderId="27" xfId="5" applyFont="1" applyFill="1" applyBorder="1" applyAlignment="1">
      <alignment vertical="center"/>
    </xf>
    <xf numFmtId="0" fontId="21" fillId="0" borderId="79" xfId="5" applyFont="1" applyFill="1" applyBorder="1" applyAlignment="1">
      <alignment vertical="center"/>
    </xf>
    <xf numFmtId="0" fontId="48" fillId="0" borderId="0" xfId="5" applyFont="1" applyFill="1" applyBorder="1" applyAlignment="1">
      <alignment vertical="center"/>
    </xf>
    <xf numFmtId="3" fontId="21" fillId="0" borderId="94" xfId="7" applyNumberFormat="1" applyFont="1" applyFill="1" applyBorder="1" applyAlignment="1">
      <alignment horizontal="center" vertical="center"/>
    </xf>
    <xf numFmtId="3" fontId="21" fillId="0" borderId="90" xfId="7" applyNumberFormat="1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vertical="center"/>
    </xf>
    <xf numFmtId="0" fontId="59" fillId="0" borderId="0" xfId="5" applyFont="1" applyFill="1" applyBorder="1" applyAlignment="1">
      <alignment vertical="center"/>
    </xf>
    <xf numFmtId="0" fontId="21" fillId="0" borderId="0" xfId="0" applyFont="1" applyBorder="1" applyAlignment="1" applyProtection="1">
      <alignment horizontal="center"/>
    </xf>
    <xf numFmtId="3" fontId="38" fillId="12" borderId="0" xfId="0" applyNumberFormat="1" applyFont="1" applyFill="1" applyAlignment="1">
      <alignment horizontal="center"/>
    </xf>
    <xf numFmtId="0" fontId="38" fillId="0" borderId="0" xfId="0" applyFont="1" applyBorder="1" applyProtection="1"/>
    <xf numFmtId="201" fontId="38" fillId="0" borderId="0" xfId="0" applyNumberFormat="1" applyFont="1" applyBorder="1" applyAlignment="1" applyProtection="1">
      <alignment horizontal="center"/>
    </xf>
    <xf numFmtId="0" fontId="38" fillId="0" borderId="0" xfId="0" applyFont="1" applyBorder="1" applyAlignment="1" applyProtection="1">
      <alignment horizontal="left"/>
    </xf>
    <xf numFmtId="205" fontId="21" fillId="0" borderId="0" xfId="5" applyNumberFormat="1" applyFont="1" applyFill="1" applyBorder="1" applyAlignment="1">
      <alignment horizontal="center" vertical="center"/>
    </xf>
    <xf numFmtId="201" fontId="21" fillId="0" borderId="0" xfId="5" applyNumberFormat="1" applyFont="1" applyFill="1" applyBorder="1" applyAlignment="1" applyProtection="1">
      <alignment vertical="center"/>
      <protection locked="0"/>
    </xf>
    <xf numFmtId="205" fontId="21" fillId="0" borderId="30" xfId="5" applyNumberFormat="1" applyFont="1" applyFill="1" applyBorder="1" applyAlignment="1">
      <alignment horizontal="left" vertical="center"/>
    </xf>
    <xf numFmtId="205" fontId="33" fillId="0" borderId="0" xfId="5" applyNumberFormat="1" applyFont="1" applyFill="1" applyBorder="1" applyAlignment="1">
      <alignment horizontal="left" vertical="center"/>
    </xf>
    <xf numFmtId="0" fontId="26" fillId="0" borderId="16" xfId="5" applyFont="1" applyBorder="1" applyAlignment="1">
      <alignment horizontal="center" vertical="center"/>
    </xf>
    <xf numFmtId="0" fontId="23" fillId="0" borderId="0" xfId="10" applyFont="1" applyAlignment="1" applyProtection="1">
      <alignment vertical="center"/>
      <protection hidden="1"/>
    </xf>
    <xf numFmtId="0" fontId="23" fillId="0" borderId="0" xfId="10" applyFont="1" applyAlignment="1" applyProtection="1">
      <alignment horizontal="left" vertical="center"/>
      <protection hidden="1"/>
    </xf>
    <xf numFmtId="0" fontId="23" fillId="0" borderId="0" xfId="10" applyFont="1" applyAlignment="1" applyProtection="1">
      <alignment horizontal="center" vertical="center"/>
      <protection hidden="1"/>
    </xf>
    <xf numFmtId="0" fontId="23" fillId="0" borderId="0" xfId="10" applyFont="1" applyAlignment="1" applyProtection="1">
      <alignment horizontal="right"/>
    </xf>
    <xf numFmtId="0" fontId="23" fillId="50" borderId="0" xfId="10" applyFont="1" applyFill="1" applyAlignment="1" applyProtection="1">
      <alignment horizontal="center"/>
      <protection locked="0"/>
    </xf>
    <xf numFmtId="0" fontId="23" fillId="0" borderId="0" xfId="10" applyFont="1" applyAlignment="1" applyProtection="1">
      <alignment horizontal="center"/>
    </xf>
    <xf numFmtId="0" fontId="23" fillId="0" borderId="0" xfId="10" applyFont="1" applyFill="1" applyProtection="1"/>
    <xf numFmtId="0" fontId="25" fillId="0" borderId="0" xfId="10" applyFont="1" applyFill="1" applyAlignment="1" applyProtection="1">
      <alignment horizontal="center" vertical="center"/>
    </xf>
    <xf numFmtId="0" fontId="23" fillId="0" borderId="0" xfId="10" applyFont="1" applyAlignment="1" applyProtection="1">
      <alignment horizontal="right" vertical="center"/>
      <protection hidden="1"/>
    </xf>
    <xf numFmtId="0" fontId="25" fillId="0" borderId="0" xfId="10" applyFont="1" applyAlignment="1" applyProtection="1">
      <alignment vertical="center"/>
      <protection hidden="1"/>
    </xf>
    <xf numFmtId="0" fontId="27" fillId="0" borderId="0" xfId="10" applyFont="1" applyAlignment="1" applyProtection="1">
      <alignment vertical="center"/>
      <protection hidden="1"/>
    </xf>
    <xf numFmtId="0" fontId="25" fillId="0" borderId="0" xfId="10" quotePrefix="1" applyFont="1" applyAlignment="1" applyProtection="1">
      <alignment vertical="center"/>
      <protection hidden="1"/>
    </xf>
    <xf numFmtId="187" fontId="23" fillId="0" borderId="0" xfId="11" applyNumberFormat="1" applyFont="1" applyAlignment="1" applyProtection="1">
      <alignment vertical="center"/>
      <protection hidden="1"/>
    </xf>
    <xf numFmtId="187" fontId="23" fillId="0" borderId="0" xfId="11" applyNumberFormat="1" applyFont="1" applyAlignment="1" applyProtection="1">
      <alignment horizontal="left" vertical="center"/>
      <protection hidden="1"/>
    </xf>
    <xf numFmtId="39" fontId="28" fillId="0" borderId="0" xfId="2" applyFont="1" applyAlignment="1" applyProtection="1">
      <alignment horizontal="right"/>
    </xf>
    <xf numFmtId="189" fontId="23" fillId="50" borderId="0" xfId="10" applyNumberFormat="1" applyFont="1" applyFill="1" applyBorder="1" applyAlignment="1" applyProtection="1">
      <alignment horizontal="center"/>
      <protection locked="0"/>
    </xf>
    <xf numFmtId="0" fontId="23" fillId="0" borderId="0" xfId="10" applyFont="1" applyProtection="1"/>
    <xf numFmtId="0" fontId="29" fillId="0" borderId="0" xfId="10" applyFont="1" applyAlignment="1" applyProtection="1">
      <alignment vertical="center"/>
      <protection hidden="1"/>
    </xf>
    <xf numFmtId="0" fontId="27" fillId="0" borderId="0" xfId="10" quotePrefix="1" applyFont="1" applyAlignment="1" applyProtection="1">
      <alignment vertical="center"/>
      <protection hidden="1"/>
    </xf>
    <xf numFmtId="0" fontId="23" fillId="0" borderId="0" xfId="10" applyFont="1" applyAlignment="1" applyProtection="1">
      <alignment horizontal="right" vertical="center" shrinkToFit="1"/>
      <protection hidden="1"/>
    </xf>
    <xf numFmtId="187" fontId="23" fillId="0" borderId="0" xfId="11" applyNumberFormat="1" applyFont="1" applyAlignment="1" applyProtection="1">
      <alignment horizontal="right" vertical="center"/>
      <protection hidden="1"/>
    </xf>
    <xf numFmtId="0" fontId="23" fillId="0" borderId="0" xfId="10" applyFont="1" applyAlignment="1" applyProtection="1">
      <alignment vertical="center" shrinkToFit="1"/>
      <protection hidden="1"/>
    </xf>
    <xf numFmtId="0" fontId="32" fillId="0" borderId="0" xfId="10" applyFont="1" applyAlignment="1" applyProtection="1">
      <alignment vertical="center"/>
      <protection hidden="1"/>
    </xf>
    <xf numFmtId="0" fontId="43" fillId="0" borderId="29" xfId="10" applyFont="1" applyBorder="1" applyAlignment="1" applyProtection="1">
      <alignment vertical="center"/>
      <protection hidden="1"/>
    </xf>
    <xf numFmtId="0" fontId="78" fillId="12" borderId="25" xfId="10" applyFont="1" applyFill="1" applyBorder="1" applyAlignment="1" applyProtection="1">
      <alignment vertical="center"/>
    </xf>
    <xf numFmtId="0" fontId="79" fillId="12" borderId="30" xfId="10" applyFont="1" applyFill="1" applyBorder="1" applyAlignment="1" applyProtection="1">
      <alignment vertical="center"/>
      <protection locked="0"/>
    </xf>
    <xf numFmtId="0" fontId="23" fillId="0" borderId="30" xfId="10" applyFont="1" applyBorder="1" applyAlignment="1" applyProtection="1">
      <alignment vertical="center"/>
      <protection hidden="1"/>
    </xf>
    <xf numFmtId="0" fontId="23" fillId="0" borderId="30" xfId="10" applyFont="1" applyBorder="1" applyAlignment="1" applyProtection="1">
      <alignment horizontal="right" vertical="center"/>
    </xf>
    <xf numFmtId="39" fontId="27" fillId="0" borderId="30" xfId="10" applyNumberFormat="1" applyFont="1" applyFill="1" applyBorder="1" applyAlignment="1" applyProtection="1">
      <alignment horizontal="center" vertical="center"/>
    </xf>
    <xf numFmtId="0" fontId="23" fillId="0" borderId="30" xfId="10" applyFont="1" applyBorder="1" applyAlignment="1" applyProtection="1">
      <alignment vertical="center"/>
    </xf>
    <xf numFmtId="187" fontId="23" fillId="0" borderId="30" xfId="11" applyNumberFormat="1" applyFont="1" applyBorder="1" applyAlignment="1" applyProtection="1">
      <alignment vertical="center"/>
      <protection hidden="1"/>
    </xf>
    <xf numFmtId="0" fontId="23" fillId="0" borderId="30" xfId="10" applyFont="1" applyBorder="1" applyAlignment="1" applyProtection="1">
      <alignment horizontal="right" vertical="center"/>
      <protection hidden="1"/>
    </xf>
    <xf numFmtId="0" fontId="23" fillId="0" borderId="30" xfId="10" applyFont="1" applyFill="1" applyBorder="1" applyAlignment="1" applyProtection="1">
      <alignment vertical="center"/>
      <protection locked="0"/>
    </xf>
    <xf numFmtId="0" fontId="23" fillId="0" borderId="30" xfId="10" applyFont="1" applyBorder="1" applyAlignment="1" applyProtection="1">
      <alignment horizontal="center" vertical="center"/>
    </xf>
    <xf numFmtId="39" fontId="23" fillId="0" borderId="11" xfId="10" applyNumberFormat="1" applyFont="1" applyBorder="1" applyAlignment="1" applyProtection="1">
      <alignment vertical="center"/>
    </xf>
    <xf numFmtId="0" fontId="23" fillId="0" borderId="0" xfId="10" applyFont="1" applyBorder="1" applyAlignment="1" applyProtection="1">
      <alignment vertical="center"/>
    </xf>
    <xf numFmtId="0" fontId="23" fillId="0" borderId="0" xfId="10" applyFont="1" applyBorder="1" applyAlignment="1" applyProtection="1">
      <alignment horizontal="center" vertical="center"/>
      <protection hidden="1"/>
    </xf>
    <xf numFmtId="0" fontId="23" fillId="0" borderId="27" xfId="10" applyFont="1" applyBorder="1" applyAlignment="1" applyProtection="1">
      <alignment vertical="center"/>
    </xf>
    <xf numFmtId="0" fontId="80" fillId="50" borderId="0" xfId="10" applyFont="1" applyFill="1" applyBorder="1" applyAlignment="1" applyProtection="1">
      <alignment vertical="center" shrinkToFit="1"/>
      <protection locked="0"/>
    </xf>
    <xf numFmtId="0" fontId="23" fillId="0" borderId="0" xfId="10" applyFont="1" applyFill="1" applyBorder="1" applyAlignment="1" applyProtection="1">
      <alignment vertical="center" shrinkToFit="1"/>
    </xf>
    <xf numFmtId="4" fontId="27" fillId="50" borderId="0" xfId="10" quotePrefix="1" applyNumberFormat="1" applyFont="1" applyFill="1" applyBorder="1" applyAlignment="1" applyProtection="1">
      <alignment horizontal="center" vertical="center" shrinkToFit="1"/>
      <protection locked="0"/>
    </xf>
    <xf numFmtId="0" fontId="23" fillId="0" borderId="0" xfId="10" applyFont="1" applyFill="1" applyBorder="1" applyAlignment="1" applyProtection="1">
      <alignment horizontal="left" vertical="center" shrinkToFit="1"/>
    </xf>
    <xf numFmtId="1" fontId="27" fillId="50" borderId="0" xfId="10" applyNumberFormat="1" applyFont="1" applyFill="1" applyBorder="1" applyAlignment="1" applyProtection="1">
      <alignment horizontal="center" vertical="center"/>
      <protection locked="0"/>
    </xf>
    <xf numFmtId="39" fontId="23" fillId="0" borderId="0" xfId="10" applyNumberFormat="1" applyFont="1" applyBorder="1" applyAlignment="1" applyProtection="1">
      <alignment horizontal="center" vertical="center"/>
    </xf>
    <xf numFmtId="0" fontId="23" fillId="0" borderId="0" xfId="10" applyFont="1" applyBorder="1" applyAlignment="1" applyProtection="1">
      <alignment vertical="center" shrinkToFit="1"/>
    </xf>
    <xf numFmtId="194" fontId="23" fillId="51" borderId="0" xfId="10" applyNumberFormat="1" applyFont="1" applyFill="1" applyBorder="1" applyAlignment="1" applyProtection="1">
      <alignment horizontal="center" vertical="center"/>
    </xf>
    <xf numFmtId="0" fontId="23" fillId="0" borderId="17" xfId="10" applyFont="1" applyBorder="1" applyAlignment="1" applyProtection="1">
      <alignment vertical="center"/>
    </xf>
    <xf numFmtId="39" fontId="23" fillId="0" borderId="27" xfId="10" applyNumberFormat="1" applyFont="1" applyBorder="1" applyAlignment="1" applyProtection="1">
      <alignment vertical="center"/>
    </xf>
    <xf numFmtId="39" fontId="23" fillId="0" borderId="0" xfId="10" applyNumberFormat="1" applyFont="1" applyBorder="1" applyAlignment="1" applyProtection="1">
      <alignment vertical="center"/>
    </xf>
    <xf numFmtId="1" fontId="23" fillId="0" borderId="0" xfId="10" applyNumberFormat="1" applyFont="1" applyFill="1" applyBorder="1" applyAlignment="1" applyProtection="1">
      <alignment horizontal="center" vertical="center"/>
      <protection locked="0"/>
    </xf>
    <xf numFmtId="0" fontId="23" fillId="0" borderId="0" xfId="10" applyFont="1" applyBorder="1" applyAlignment="1" applyProtection="1">
      <alignment horizontal="left" vertical="center"/>
      <protection hidden="1"/>
    </xf>
    <xf numFmtId="0" fontId="23" fillId="0" borderId="26" xfId="10" applyFont="1" applyBorder="1" applyAlignment="1" applyProtection="1">
      <alignment vertical="center"/>
    </xf>
    <xf numFmtId="0" fontId="80" fillId="50" borderId="29" xfId="10" applyFont="1" applyFill="1" applyBorder="1" applyAlignment="1" applyProtection="1">
      <alignment vertical="center" shrinkToFit="1"/>
      <protection locked="0"/>
    </xf>
    <xf numFmtId="4" fontId="27" fillId="50" borderId="29" xfId="10" quotePrefix="1" applyNumberFormat="1" applyFont="1" applyFill="1" applyBorder="1" applyAlignment="1" applyProtection="1">
      <alignment horizontal="center" vertical="center" shrinkToFit="1"/>
      <protection locked="0"/>
    </xf>
    <xf numFmtId="1" fontId="23" fillId="0" borderId="29" xfId="10" applyNumberFormat="1" applyFont="1" applyFill="1" applyBorder="1" applyAlignment="1" applyProtection="1">
      <alignment horizontal="center" vertical="center"/>
      <protection locked="0"/>
    </xf>
    <xf numFmtId="39" fontId="23" fillId="0" borderId="29" xfId="10" applyNumberFormat="1" applyFont="1" applyBorder="1" applyAlignment="1" applyProtection="1">
      <alignment horizontal="center" vertical="center"/>
    </xf>
    <xf numFmtId="0" fontId="23" fillId="0" borderId="29" xfId="10" applyFont="1" applyBorder="1" applyAlignment="1" applyProtection="1">
      <alignment vertical="center" shrinkToFit="1"/>
    </xf>
    <xf numFmtId="0" fontId="23" fillId="0" borderId="14" xfId="10" applyFont="1" applyBorder="1" applyAlignment="1" applyProtection="1">
      <alignment vertical="center"/>
    </xf>
    <xf numFmtId="0" fontId="23" fillId="0" borderId="30" xfId="10" applyFont="1" applyFill="1" applyBorder="1" applyAlignment="1" applyProtection="1">
      <alignment vertical="center"/>
    </xf>
    <xf numFmtId="187" fontId="23" fillId="0" borderId="30" xfId="10" applyNumberFormat="1" applyFont="1" applyFill="1" applyBorder="1" applyAlignment="1" applyProtection="1">
      <alignment horizontal="right" vertical="center"/>
      <protection locked="0"/>
    </xf>
    <xf numFmtId="2" fontId="27" fillId="50" borderId="30" xfId="10" applyNumberFormat="1" applyFont="1" applyFill="1" applyBorder="1" applyAlignment="1" applyProtection="1">
      <alignment horizontal="center" vertical="center"/>
    </xf>
    <xf numFmtId="2" fontId="23" fillId="0" borderId="0" xfId="10" applyNumberFormat="1" applyFont="1" applyBorder="1" applyAlignment="1" applyProtection="1">
      <alignment vertical="center"/>
    </xf>
    <xf numFmtId="0" fontId="79" fillId="0" borderId="0" xfId="10" applyFont="1" applyFill="1" applyBorder="1" applyAlignment="1" applyProtection="1">
      <alignment vertical="center"/>
      <protection locked="0"/>
    </xf>
    <xf numFmtId="0" fontId="23" fillId="0" borderId="0" xfId="10" applyFont="1" applyFill="1" applyBorder="1" applyAlignment="1" applyProtection="1">
      <alignment vertical="center"/>
    </xf>
    <xf numFmtId="0" fontId="23" fillId="0" borderId="0" xfId="10" applyFont="1" applyBorder="1" applyAlignment="1" applyProtection="1">
      <alignment horizontal="right" vertical="center"/>
    </xf>
    <xf numFmtId="0" fontId="23" fillId="0" borderId="0" xfId="10" applyFont="1" applyBorder="1" applyAlignment="1" applyProtection="1">
      <alignment horizontal="center" vertical="center" shrinkToFit="1"/>
    </xf>
    <xf numFmtId="0" fontId="23" fillId="0" borderId="0" xfId="10" applyFont="1" applyFill="1" applyBorder="1" applyAlignment="1" applyProtection="1">
      <alignment horizontal="left" vertical="center"/>
    </xf>
    <xf numFmtId="0" fontId="23" fillId="0" borderId="17" xfId="10" applyFont="1" applyBorder="1" applyAlignment="1" applyProtection="1">
      <alignment vertical="center"/>
      <protection hidden="1"/>
    </xf>
    <xf numFmtId="0" fontId="27" fillId="0" borderId="0" xfId="10" applyFont="1" applyFill="1" applyProtection="1"/>
    <xf numFmtId="0" fontId="23" fillId="0" borderId="0" xfId="10" applyFont="1" applyBorder="1" applyAlignment="1" applyProtection="1">
      <alignment vertical="center"/>
      <protection hidden="1"/>
    </xf>
    <xf numFmtId="194" fontId="23" fillId="0" borderId="0" xfId="10" applyNumberFormat="1" applyFont="1" applyBorder="1" applyAlignment="1" applyProtection="1">
      <alignment horizontal="center" vertical="center" shrinkToFit="1"/>
    </xf>
    <xf numFmtId="0" fontId="23" fillId="0" borderId="121" xfId="10" applyFont="1" applyBorder="1" applyAlignment="1" applyProtection="1">
      <alignment vertical="center"/>
    </xf>
    <xf numFmtId="0" fontId="79" fillId="0" borderId="93" xfId="10" applyFont="1" applyFill="1" applyBorder="1" applyAlignment="1" applyProtection="1">
      <alignment vertical="center"/>
      <protection locked="0"/>
    </xf>
    <xf numFmtId="0" fontId="23" fillId="0" borderId="93" xfId="10" applyFont="1" applyBorder="1" applyAlignment="1" applyProtection="1">
      <alignment horizontal="right" vertical="center"/>
    </xf>
    <xf numFmtId="0" fontId="23" fillId="0" borderId="93" xfId="10" applyFont="1" applyBorder="1" applyAlignment="1" applyProtection="1">
      <alignment vertical="center"/>
    </xf>
    <xf numFmtId="0" fontId="23" fillId="0" borderId="93" xfId="10" applyFont="1" applyBorder="1" applyAlignment="1" applyProtection="1">
      <alignment vertical="center"/>
      <protection hidden="1"/>
    </xf>
    <xf numFmtId="1" fontId="23" fillId="0" borderId="93" xfId="10" applyNumberFormat="1" applyFont="1" applyFill="1" applyBorder="1" applyAlignment="1" applyProtection="1">
      <alignment horizontal="center" vertical="center"/>
      <protection locked="0"/>
    </xf>
    <xf numFmtId="194" fontId="23" fillId="0" borderId="93" xfId="10" applyNumberFormat="1" applyFont="1" applyBorder="1" applyAlignment="1" applyProtection="1">
      <alignment horizontal="center" vertical="center" shrinkToFit="1"/>
    </xf>
    <xf numFmtId="0" fontId="23" fillId="0" borderId="93" xfId="10" applyFont="1" applyFill="1" applyBorder="1" applyAlignment="1" applyProtection="1">
      <alignment horizontal="left" vertical="center"/>
    </xf>
    <xf numFmtId="0" fontId="23" fillId="0" borderId="92" xfId="10" applyFont="1" applyBorder="1" applyAlignment="1" applyProtection="1">
      <alignment vertical="center"/>
      <protection hidden="1"/>
    </xf>
    <xf numFmtId="39" fontId="27" fillId="0" borderId="0" xfId="10" applyNumberFormat="1" applyFont="1" applyFill="1" applyBorder="1" applyAlignment="1" applyProtection="1">
      <alignment horizontal="center" vertical="center"/>
    </xf>
    <xf numFmtId="187" fontId="23" fillId="0" borderId="0" xfId="11" applyNumberFormat="1" applyFont="1" applyBorder="1" applyAlignment="1" applyProtection="1">
      <alignment vertical="center"/>
      <protection hidden="1"/>
    </xf>
    <xf numFmtId="0" fontId="23" fillId="0" borderId="0" xfId="10" applyFont="1" applyBorder="1" applyAlignment="1" applyProtection="1">
      <alignment horizontal="right" vertical="center"/>
      <protection hidden="1"/>
    </xf>
    <xf numFmtId="39" fontId="23" fillId="0" borderId="17" xfId="10" applyNumberFormat="1" applyFont="1" applyBorder="1" applyAlignment="1" applyProtection="1">
      <alignment vertical="center"/>
    </xf>
    <xf numFmtId="0" fontId="80" fillId="50" borderId="0" xfId="10" applyFont="1" applyFill="1" applyBorder="1" applyAlignment="1" applyProtection="1">
      <alignment horizontal="left" vertical="center" shrinkToFit="1"/>
      <protection locked="0"/>
    </xf>
    <xf numFmtId="4" fontId="23" fillId="0" borderId="0" xfId="10" quotePrefix="1" applyNumberFormat="1" applyFont="1" applyFill="1" applyBorder="1" applyAlignment="1" applyProtection="1">
      <alignment horizontal="center" vertical="center" shrinkToFit="1"/>
      <protection locked="0"/>
    </xf>
    <xf numFmtId="0" fontId="80" fillId="50" borderId="29" xfId="10" applyFont="1" applyFill="1" applyBorder="1" applyAlignment="1" applyProtection="1">
      <alignment horizontal="left" vertical="center" shrinkToFit="1"/>
      <protection locked="0"/>
    </xf>
    <xf numFmtId="0" fontId="23" fillId="0" borderId="29" xfId="10" applyFont="1" applyFill="1" applyBorder="1" applyAlignment="1" applyProtection="1">
      <alignment vertical="center" shrinkToFit="1"/>
    </xf>
    <xf numFmtId="4" fontId="23" fillId="0" borderId="29" xfId="10" quotePrefix="1" applyNumberFormat="1" applyFont="1" applyFill="1" applyBorder="1" applyAlignment="1" applyProtection="1">
      <alignment horizontal="center" vertical="center" shrinkToFit="1"/>
      <protection locked="0"/>
    </xf>
    <xf numFmtId="0" fontId="23" fillId="0" borderId="29" xfId="10" applyFont="1" applyFill="1" applyBorder="1" applyAlignment="1" applyProtection="1">
      <alignment horizontal="left" vertical="center" shrinkToFit="1"/>
    </xf>
    <xf numFmtId="194" fontId="23" fillId="51" borderId="29" xfId="10" applyNumberFormat="1" applyFont="1" applyFill="1" applyBorder="1" applyAlignment="1" applyProtection="1">
      <alignment horizontal="center" vertical="center"/>
    </xf>
    <xf numFmtId="187" fontId="23" fillId="0" borderId="0" xfId="10" applyNumberFormat="1" applyFont="1" applyFill="1" applyBorder="1" applyAlignment="1" applyProtection="1">
      <alignment horizontal="right" vertical="center"/>
      <protection locked="0"/>
    </xf>
    <xf numFmtId="0" fontId="23" fillId="0" borderId="0" xfId="10" applyFont="1" applyFill="1" applyBorder="1" applyAlignment="1" applyProtection="1">
      <alignment horizontal="right" vertical="center"/>
    </xf>
    <xf numFmtId="194" fontId="27" fillId="52" borderId="0" xfId="10" applyNumberFormat="1" applyFont="1" applyFill="1" applyBorder="1" applyAlignment="1" applyProtection="1">
      <alignment horizontal="center" vertical="center"/>
    </xf>
    <xf numFmtId="0" fontId="78" fillId="0" borderId="27" xfId="10" applyFont="1" applyFill="1" applyBorder="1" applyAlignment="1" applyProtection="1">
      <alignment horizontal="left" vertical="center" shrinkToFit="1"/>
    </xf>
    <xf numFmtId="0" fontId="78" fillId="0" borderId="0" xfId="10" applyFont="1" applyFill="1" applyBorder="1" applyAlignment="1" applyProtection="1">
      <alignment horizontal="left" vertical="center" shrinkToFit="1"/>
    </xf>
    <xf numFmtId="0" fontId="23" fillId="0" borderId="27" xfId="10" applyFont="1" applyFill="1" applyBorder="1" applyAlignment="1" applyProtection="1">
      <alignment vertical="center"/>
    </xf>
    <xf numFmtId="0" fontId="79" fillId="0" borderId="29" xfId="10" applyFont="1" applyFill="1" applyBorder="1" applyAlignment="1" applyProtection="1">
      <alignment vertical="center"/>
      <protection locked="0"/>
    </xf>
    <xf numFmtId="0" fontId="23" fillId="0" borderId="29" xfId="10" applyFont="1" applyFill="1" applyBorder="1" applyAlignment="1" applyProtection="1">
      <alignment vertical="center"/>
    </xf>
    <xf numFmtId="0" fontId="23" fillId="0" borderId="29" xfId="10" applyFont="1" applyBorder="1" applyAlignment="1" applyProtection="1">
      <alignment vertical="center"/>
      <protection hidden="1"/>
    </xf>
    <xf numFmtId="0" fontId="23" fillId="0" borderId="29" xfId="10" applyFont="1" applyBorder="1" applyAlignment="1" applyProtection="1">
      <alignment horizontal="right" vertical="center"/>
      <protection hidden="1"/>
    </xf>
    <xf numFmtId="187" fontId="23" fillId="0" borderId="29" xfId="10" applyNumberFormat="1" applyFont="1" applyFill="1" applyBorder="1" applyAlignment="1" applyProtection="1">
      <alignment horizontal="right" vertical="center"/>
      <protection locked="0"/>
    </xf>
    <xf numFmtId="0" fontId="23" fillId="0" borderId="29" xfId="10" applyFont="1" applyFill="1" applyBorder="1" applyAlignment="1" applyProtection="1">
      <alignment horizontal="right" vertical="center"/>
    </xf>
    <xf numFmtId="194" fontId="27" fillId="52" borderId="29" xfId="10" applyNumberFormat="1" applyFont="1" applyFill="1" applyBorder="1" applyAlignment="1" applyProtection="1">
      <alignment horizontal="center" vertical="center"/>
    </xf>
    <xf numFmtId="187" fontId="23" fillId="0" borderId="0" xfId="11" applyNumberFormat="1" applyFont="1" applyFill="1" applyAlignment="1" applyProtection="1">
      <alignment vertical="center"/>
      <protection hidden="1"/>
    </xf>
    <xf numFmtId="0" fontId="81" fillId="0" borderId="0" xfId="10" applyFont="1" applyFill="1" applyBorder="1" applyAlignment="1" applyProtection="1">
      <alignment vertical="center"/>
      <protection hidden="1"/>
    </xf>
    <xf numFmtId="2" fontId="27" fillId="0" borderId="0" xfId="11" quotePrefix="1" applyNumberFormat="1" applyFont="1" applyAlignment="1" applyProtection="1">
      <alignment horizontal="left" vertical="center"/>
      <protection hidden="1"/>
    </xf>
    <xf numFmtId="2" fontId="23" fillId="0" borderId="0" xfId="10" applyNumberFormat="1" applyFont="1" applyAlignment="1" applyProtection="1">
      <alignment horizontal="centerContinuous" vertical="center"/>
      <protection hidden="1"/>
    </xf>
    <xf numFmtId="2" fontId="23" fillId="0" borderId="0" xfId="10" applyNumberFormat="1" applyFont="1" applyAlignment="1" applyProtection="1">
      <alignment horizontal="right" vertical="center"/>
      <protection hidden="1"/>
    </xf>
    <xf numFmtId="2" fontId="23" fillId="0" borderId="0" xfId="11" applyNumberFormat="1" applyFont="1" applyAlignment="1" applyProtection="1">
      <alignment horizontal="centerContinuous" vertical="center"/>
      <protection hidden="1"/>
    </xf>
    <xf numFmtId="2" fontId="27" fillId="0" borderId="0" xfId="11" applyNumberFormat="1" applyFont="1" applyAlignment="1" applyProtection="1">
      <alignment horizontal="right" vertical="center"/>
      <protection hidden="1"/>
    </xf>
    <xf numFmtId="187" fontId="83" fillId="0" borderId="0" xfId="11" applyNumberFormat="1" applyFont="1" applyAlignment="1" applyProtection="1">
      <alignment horizontal="right" vertical="center"/>
      <protection hidden="1"/>
    </xf>
    <xf numFmtId="187" fontId="23" fillId="0" borderId="0" xfId="11" applyNumberFormat="1" applyFont="1" applyAlignment="1" applyProtection="1">
      <alignment horizontal="centerContinuous" vertical="center"/>
      <protection hidden="1"/>
    </xf>
    <xf numFmtId="0" fontId="84" fillId="0" borderId="0" xfId="10" applyFont="1" applyAlignment="1" applyProtection="1">
      <alignment vertical="center"/>
      <protection hidden="1"/>
    </xf>
    <xf numFmtId="0" fontId="83" fillId="0" borderId="0" xfId="10" applyFont="1" applyAlignment="1" applyProtection="1">
      <alignment vertical="center"/>
      <protection hidden="1"/>
    </xf>
    <xf numFmtId="0" fontId="85" fillId="0" borderId="0" xfId="10" applyFont="1" applyAlignment="1" applyProtection="1">
      <alignment vertical="center"/>
      <protection hidden="1"/>
    </xf>
    <xf numFmtId="208" fontId="79" fillId="0" borderId="0" xfId="11" applyNumberFormat="1" applyFont="1" applyAlignment="1" applyProtection="1">
      <alignment vertical="center" wrapText="1"/>
      <protection hidden="1"/>
    </xf>
    <xf numFmtId="187" fontId="23" fillId="0" borderId="0" xfId="11" applyNumberFormat="1" applyFont="1" applyAlignment="1" applyProtection="1">
      <alignment horizontal="center" vertical="center"/>
      <protection hidden="1"/>
    </xf>
    <xf numFmtId="208" fontId="23" fillId="0" borderId="0" xfId="11" applyNumberFormat="1" applyFont="1" applyAlignment="1" applyProtection="1">
      <alignment vertical="center"/>
      <protection hidden="1"/>
    </xf>
    <xf numFmtId="208" fontId="79" fillId="0" borderId="0" xfId="11" applyNumberFormat="1" applyFont="1" applyAlignment="1" applyProtection="1">
      <alignment vertical="center"/>
      <protection hidden="1"/>
    </xf>
    <xf numFmtId="209" fontId="23" fillId="0" borderId="0" xfId="11" applyNumberFormat="1" applyFont="1" applyAlignment="1" applyProtection="1">
      <alignment horizontal="center" vertical="center"/>
      <protection hidden="1"/>
    </xf>
    <xf numFmtId="208" fontId="79" fillId="0" borderId="0" xfId="11" applyNumberFormat="1" applyFont="1" applyAlignment="1">
      <alignment vertical="center"/>
    </xf>
    <xf numFmtId="0" fontId="27" fillId="0" borderId="0" xfId="10" quotePrefix="1" applyFont="1" applyAlignment="1" applyProtection="1">
      <alignment horizontal="left" vertical="center"/>
      <protection hidden="1"/>
    </xf>
    <xf numFmtId="0" fontId="41" fillId="0" borderId="0" xfId="10" applyFont="1" applyAlignment="1" applyProtection="1">
      <alignment vertical="center"/>
      <protection hidden="1"/>
    </xf>
    <xf numFmtId="0" fontId="23" fillId="0" borderId="0" xfId="10" applyFont="1" applyAlignment="1">
      <alignment vertical="center"/>
    </xf>
    <xf numFmtId="0" fontId="23" fillId="0" borderId="0" xfId="10" applyFont="1" applyAlignment="1">
      <alignment horizontal="right" vertical="center"/>
    </xf>
    <xf numFmtId="0" fontId="23" fillId="0" borderId="0" xfId="10" quotePrefix="1" applyFont="1" applyAlignment="1" applyProtection="1">
      <alignment horizontal="left" vertical="center"/>
      <protection hidden="1"/>
    </xf>
    <xf numFmtId="208" fontId="23" fillId="0" borderId="0" xfId="11" applyNumberFormat="1" applyFont="1" applyFill="1" applyAlignment="1" applyProtection="1">
      <alignment vertical="center"/>
      <protection hidden="1"/>
    </xf>
    <xf numFmtId="208" fontId="23" fillId="0" borderId="0" xfId="11" applyNumberFormat="1" applyFont="1" applyAlignment="1">
      <alignment vertical="center"/>
    </xf>
    <xf numFmtId="208" fontId="23" fillId="0" borderId="0" xfId="11" applyNumberFormat="1" applyFont="1" applyAlignment="1" applyProtection="1">
      <alignment horizontal="right" vertical="center"/>
      <protection hidden="1"/>
    </xf>
    <xf numFmtId="0" fontId="41" fillId="0" borderId="0" xfId="10" applyFont="1" applyAlignment="1" applyProtection="1">
      <alignment horizontal="right" vertical="center"/>
      <protection hidden="1"/>
    </xf>
    <xf numFmtId="43" fontId="23" fillId="0" borderId="0" xfId="10" applyNumberFormat="1" applyFont="1" applyAlignment="1" applyProtection="1">
      <alignment vertical="center"/>
      <protection hidden="1"/>
    </xf>
    <xf numFmtId="0" fontId="85" fillId="0" borderId="0" xfId="10" applyFont="1" applyAlignment="1" applyProtection="1">
      <alignment horizontal="right" vertical="center"/>
      <protection hidden="1"/>
    </xf>
    <xf numFmtId="208" fontId="23" fillId="0" borderId="0" xfId="10" applyNumberFormat="1" applyFont="1" applyAlignment="1" applyProtection="1">
      <alignment horizontal="right" vertical="center"/>
      <protection hidden="1"/>
    </xf>
    <xf numFmtId="208" fontId="79" fillId="0" borderId="0" xfId="11" applyNumberFormat="1" applyFont="1" applyAlignment="1" applyProtection="1">
      <alignment horizontal="right" vertical="center"/>
      <protection hidden="1"/>
    </xf>
    <xf numFmtId="0" fontId="66" fillId="0" borderId="0" xfId="10" applyFont="1" applyFill="1" applyAlignment="1" applyProtection="1">
      <alignment horizontal="right" vertical="center"/>
      <protection hidden="1"/>
    </xf>
    <xf numFmtId="0" fontId="65" fillId="0" borderId="0" xfId="10" applyFont="1" applyBorder="1" applyAlignment="1" applyProtection="1">
      <alignment vertical="center" shrinkToFit="1"/>
      <protection hidden="1"/>
    </xf>
    <xf numFmtId="0" fontId="65" fillId="0" borderId="0" xfId="10" applyFont="1" applyBorder="1" applyAlignment="1" applyProtection="1">
      <alignment vertical="center"/>
      <protection hidden="1"/>
    </xf>
    <xf numFmtId="0" fontId="65" fillId="0" borderId="0" xfId="10" applyFont="1" applyBorder="1" applyAlignment="1" applyProtection="1">
      <alignment horizontal="left" vertical="center"/>
      <protection hidden="1"/>
    </xf>
    <xf numFmtId="0" fontId="65" fillId="0" borderId="0" xfId="10" applyFont="1" applyBorder="1" applyAlignment="1" applyProtection="1">
      <alignment horizontal="center" vertical="center"/>
      <protection hidden="1"/>
    </xf>
    <xf numFmtId="0" fontId="66" fillId="0" borderId="0" xfId="10" applyFont="1" applyAlignment="1" applyProtection="1">
      <alignment horizontal="right" vertical="center"/>
      <protection hidden="1"/>
    </xf>
    <xf numFmtId="39" fontId="23" fillId="0" borderId="0" xfId="12" applyFont="1" applyAlignment="1" applyProtection="1">
      <alignment vertical="center"/>
      <protection hidden="1"/>
    </xf>
    <xf numFmtId="0" fontId="23" fillId="0" borderId="28" xfId="10" applyFont="1" applyBorder="1" applyAlignment="1" applyProtection="1">
      <alignment vertical="center"/>
      <protection hidden="1"/>
    </xf>
    <xf numFmtId="0" fontId="23" fillId="0" borderId="12" xfId="10" applyFont="1" applyBorder="1" applyAlignment="1" applyProtection="1">
      <alignment vertical="center"/>
      <protection hidden="1"/>
    </xf>
    <xf numFmtId="0" fontId="23" fillId="0" borderId="16" xfId="10" applyFont="1" applyBorder="1" applyAlignment="1" applyProtection="1">
      <alignment vertical="center"/>
      <protection hidden="1"/>
    </xf>
    <xf numFmtId="0" fontId="23" fillId="0" borderId="25" xfId="10" applyFont="1" applyBorder="1" applyAlignment="1" applyProtection="1">
      <alignment horizontal="center" vertical="center"/>
      <protection hidden="1"/>
    </xf>
    <xf numFmtId="0" fontId="23" fillId="0" borderId="11" xfId="10" applyFont="1" applyBorder="1" applyAlignment="1" applyProtection="1">
      <alignment horizontal="center" vertical="center"/>
      <protection hidden="1"/>
    </xf>
    <xf numFmtId="208" fontId="66" fillId="0" borderId="0" xfId="11" applyNumberFormat="1" applyFont="1" applyFill="1" applyAlignment="1" applyProtection="1">
      <alignment horizontal="right" vertical="center"/>
      <protection hidden="1"/>
    </xf>
    <xf numFmtId="0" fontId="23" fillId="0" borderId="2" xfId="10" applyFont="1" applyBorder="1" applyAlignment="1" applyProtection="1">
      <alignment horizontal="center" vertical="center"/>
      <protection hidden="1"/>
    </xf>
    <xf numFmtId="0" fontId="23" fillId="0" borderId="27" xfId="10" applyFont="1" applyBorder="1" applyAlignment="1" applyProtection="1">
      <alignment horizontal="center" vertical="center"/>
      <protection hidden="1"/>
    </xf>
    <xf numFmtId="0" fontId="23" fillId="0" borderId="17" xfId="10" applyFont="1" applyBorder="1" applyAlignment="1" applyProtection="1">
      <alignment horizontal="center" vertical="center"/>
      <protection hidden="1"/>
    </xf>
    <xf numFmtId="0" fontId="23" fillId="0" borderId="15" xfId="10" applyFont="1" applyBorder="1" applyAlignment="1" applyProtection="1">
      <alignment horizontal="center" vertical="center"/>
      <protection hidden="1"/>
    </xf>
    <xf numFmtId="0" fontId="23" fillId="0" borderId="26" xfId="10" applyFont="1" applyBorder="1" applyAlignment="1" applyProtection="1">
      <alignment horizontal="center" vertical="center"/>
      <protection hidden="1"/>
    </xf>
    <xf numFmtId="0" fontId="23" fillId="0" borderId="14" xfId="10" applyFont="1" applyBorder="1" applyAlignment="1" applyProtection="1">
      <alignment horizontal="center" vertical="center"/>
      <protection hidden="1"/>
    </xf>
    <xf numFmtId="0" fontId="23" fillId="0" borderId="0" xfId="10" applyFont="1" applyFill="1" applyAlignment="1" applyProtection="1">
      <alignment horizontal="right" vertical="center"/>
      <protection hidden="1"/>
    </xf>
    <xf numFmtId="0" fontId="23" fillId="0" borderId="0" xfId="10" applyFont="1" applyFill="1" applyAlignment="1" applyProtection="1">
      <alignment vertical="center"/>
      <protection hidden="1"/>
    </xf>
    <xf numFmtId="208" fontId="23" fillId="0" borderId="0" xfId="11" applyNumberFormat="1" applyFont="1" applyFill="1" applyAlignment="1" applyProtection="1">
      <alignment horizontal="right" vertical="center"/>
      <protection hidden="1"/>
    </xf>
    <xf numFmtId="187" fontId="23" fillId="0" borderId="0" xfId="11" applyNumberFormat="1" applyFont="1" applyFill="1" applyAlignment="1" applyProtection="1">
      <alignment horizontal="left" vertical="center"/>
      <protection hidden="1"/>
    </xf>
    <xf numFmtId="0" fontId="23" fillId="53" borderId="0" xfId="10" applyFont="1" applyFill="1" applyAlignment="1" applyProtection="1">
      <alignment vertical="center"/>
      <protection hidden="1"/>
    </xf>
    <xf numFmtId="208" fontId="79" fillId="0" borderId="0" xfId="11" applyNumberFormat="1" applyFont="1" applyFill="1" applyAlignment="1" applyProtection="1">
      <alignment horizontal="right" vertical="center"/>
      <protection hidden="1"/>
    </xf>
    <xf numFmtId="0" fontId="23" fillId="0" borderId="0" xfId="10" applyFont="1" applyFill="1" applyAlignment="1" applyProtection="1">
      <alignment horizontal="left" vertical="center"/>
      <protection hidden="1"/>
    </xf>
    <xf numFmtId="0" fontId="23" fillId="0" borderId="0" xfId="10" applyFont="1" applyFill="1" applyAlignment="1" applyProtection="1">
      <alignment horizontal="center" vertical="center"/>
      <protection hidden="1"/>
    </xf>
    <xf numFmtId="0" fontId="29" fillId="54" borderId="0" xfId="10" applyFont="1" applyFill="1" applyAlignment="1" applyProtection="1">
      <alignment vertical="center"/>
      <protection hidden="1"/>
    </xf>
    <xf numFmtId="0" fontId="23" fillId="54" borderId="0" xfId="10" applyFont="1" applyFill="1" applyAlignment="1" applyProtection="1">
      <alignment vertical="center"/>
      <protection hidden="1"/>
    </xf>
    <xf numFmtId="208" fontId="23" fillId="11" borderId="0" xfId="11" applyNumberFormat="1" applyFont="1" applyFill="1" applyAlignment="1" applyProtection="1">
      <alignment horizontal="right" vertical="center"/>
      <protection hidden="1"/>
    </xf>
    <xf numFmtId="208" fontId="23" fillId="12" borderId="0" xfId="11" applyNumberFormat="1" applyFont="1" applyFill="1" applyAlignment="1" applyProtection="1">
      <alignment horizontal="right" vertical="center"/>
      <protection hidden="1"/>
    </xf>
    <xf numFmtId="0" fontId="33" fillId="0" borderId="0" xfId="10" applyFont="1" applyFill="1" applyAlignment="1" applyProtection="1">
      <alignment vertical="center"/>
    </xf>
    <xf numFmtId="0" fontId="33" fillId="0" borderId="0" xfId="10" applyFont="1" applyFill="1" applyAlignment="1" applyProtection="1">
      <alignment horizontal="center" vertical="center"/>
    </xf>
    <xf numFmtId="187" fontId="33" fillId="0" borderId="0" xfId="11" applyNumberFormat="1" applyFont="1" applyFill="1" applyAlignment="1" applyProtection="1">
      <alignment horizontal="center" vertical="center"/>
    </xf>
    <xf numFmtId="187" fontId="33" fillId="0" borderId="0" xfId="11" applyNumberFormat="1" applyFont="1" applyFill="1" applyAlignment="1" applyProtection="1">
      <alignment vertical="center"/>
    </xf>
    <xf numFmtId="0" fontId="33" fillId="0" borderId="0" xfId="10" applyFont="1" applyAlignment="1" applyProtection="1">
      <alignment vertical="center"/>
    </xf>
    <xf numFmtId="208" fontId="23" fillId="0" borderId="0" xfId="10" applyNumberFormat="1" applyFont="1" applyAlignment="1" applyProtection="1">
      <alignment horizontal="center" vertical="center"/>
      <protection hidden="1"/>
    </xf>
    <xf numFmtId="0" fontId="33" fillId="0" borderId="0" xfId="10" applyFont="1" applyFill="1" applyAlignment="1">
      <alignment vertical="center"/>
    </xf>
    <xf numFmtId="0" fontId="23" fillId="0" borderId="25" xfId="10" applyNumberFormat="1" applyFont="1" applyBorder="1" applyAlignment="1" applyProtection="1">
      <alignment vertical="center"/>
      <protection hidden="1"/>
    </xf>
    <xf numFmtId="0" fontId="23" fillId="0" borderId="30" xfId="10" applyNumberFormat="1" applyFont="1" applyBorder="1" applyAlignment="1" applyProtection="1">
      <alignment horizontal="left" vertical="center"/>
      <protection hidden="1"/>
    </xf>
    <xf numFmtId="189" fontId="23" fillId="0" borderId="0" xfId="10" applyNumberFormat="1" applyFont="1" applyAlignment="1" applyProtection="1">
      <alignment horizontal="center" vertical="center"/>
      <protection hidden="1"/>
    </xf>
    <xf numFmtId="39" fontId="23" fillId="0" borderId="0" xfId="12" applyNumberFormat="1" applyFont="1" applyBorder="1" applyAlignment="1" applyProtection="1">
      <alignment horizontal="center" vertical="center" wrapText="1"/>
    </xf>
    <xf numFmtId="0" fontId="23" fillId="0" borderId="27" xfId="10" applyNumberFormat="1" applyFont="1" applyBorder="1" applyAlignment="1" applyProtection="1">
      <alignment vertical="center"/>
      <protection hidden="1"/>
    </xf>
    <xf numFmtId="0" fontId="23" fillId="0" borderId="0" xfId="10" applyNumberFormat="1" applyFont="1" applyBorder="1" applyAlignment="1" applyProtection="1">
      <alignment horizontal="left" vertical="center"/>
      <protection hidden="1"/>
    </xf>
    <xf numFmtId="0" fontId="23" fillId="0" borderId="26" xfId="10" applyNumberFormat="1" applyFont="1" applyBorder="1" applyAlignment="1" applyProtection="1">
      <alignment vertical="center"/>
      <protection hidden="1"/>
    </xf>
    <xf numFmtId="0" fontId="23" fillId="0" borderId="29" xfId="10" applyNumberFormat="1" applyFont="1" applyBorder="1" applyAlignment="1" applyProtection="1">
      <alignment horizontal="left" vertical="center"/>
      <protection hidden="1"/>
    </xf>
    <xf numFmtId="0" fontId="23" fillId="0" borderId="16" xfId="10" applyFont="1" applyBorder="1" applyAlignment="1" applyProtection="1">
      <alignment horizontal="center" vertical="center"/>
      <protection hidden="1"/>
    </xf>
    <xf numFmtId="2" fontId="41" fillId="0" borderId="16" xfId="10" applyNumberFormat="1" applyFont="1" applyBorder="1" applyAlignment="1" applyProtection="1">
      <alignment horizontal="center" vertical="center"/>
      <protection hidden="1"/>
    </xf>
    <xf numFmtId="208" fontId="23" fillId="0" borderId="0" xfId="12" applyNumberFormat="1" applyFont="1" applyBorder="1" applyAlignment="1" applyProtection="1">
      <alignment horizontal="right" vertical="center"/>
      <protection hidden="1"/>
    </xf>
    <xf numFmtId="187" fontId="23" fillId="0" borderId="0" xfId="11" quotePrefix="1" applyNumberFormat="1" applyFont="1" applyAlignment="1" applyProtection="1">
      <alignment horizontal="left" vertical="center"/>
      <protection hidden="1"/>
    </xf>
    <xf numFmtId="39" fontId="23" fillId="0" borderId="0" xfId="12" quotePrefix="1" applyNumberFormat="1" applyFont="1" applyBorder="1" applyAlignment="1" applyProtection="1">
      <alignment horizontal="center" vertical="center"/>
      <protection hidden="1"/>
    </xf>
    <xf numFmtId="39" fontId="23" fillId="0" borderId="0" xfId="12" quotePrefix="1" applyNumberFormat="1" applyFont="1" applyBorder="1" applyAlignment="1" applyProtection="1">
      <alignment horizontal="left" vertical="center"/>
      <protection hidden="1"/>
    </xf>
    <xf numFmtId="208" fontId="23" fillId="0" borderId="0" xfId="12" quotePrefix="1" applyNumberFormat="1" applyFont="1" applyBorder="1" applyAlignment="1" applyProtection="1">
      <alignment horizontal="right" vertical="center"/>
      <protection hidden="1"/>
    </xf>
    <xf numFmtId="208" fontId="41" fillId="0" borderId="0" xfId="11" applyNumberFormat="1" applyFont="1" applyAlignment="1" applyProtection="1">
      <alignment horizontal="right" vertical="center"/>
      <protection hidden="1"/>
    </xf>
    <xf numFmtId="0" fontId="41" fillId="0" borderId="0" xfId="10" applyFont="1" applyAlignment="1" applyProtection="1">
      <alignment horizontal="left" vertical="center"/>
      <protection hidden="1"/>
    </xf>
    <xf numFmtId="0" fontId="27" fillId="0" borderId="0" xfId="10" applyFont="1" applyFill="1" applyAlignment="1">
      <alignment vertical="center"/>
    </xf>
    <xf numFmtId="0" fontId="23" fillId="0" borderId="0" xfId="10" applyFont="1" applyFill="1" applyAlignment="1">
      <alignment vertical="center"/>
    </xf>
    <xf numFmtId="37" fontId="23" fillId="0" borderId="0" xfId="10" applyNumberFormat="1" applyFont="1" applyFill="1" applyAlignment="1">
      <alignment vertical="center"/>
    </xf>
    <xf numFmtId="0" fontId="23" fillId="0" borderId="0" xfId="10" applyFont="1" applyFill="1" applyAlignment="1">
      <alignment horizontal="right" vertical="center"/>
    </xf>
    <xf numFmtId="208" fontId="23" fillId="0" borderId="0" xfId="10" applyNumberFormat="1" applyFont="1" applyFill="1" applyAlignment="1">
      <alignment horizontal="right" vertical="center"/>
    </xf>
    <xf numFmtId="187" fontId="23" fillId="0" borderId="0" xfId="11" applyNumberFormat="1" applyFont="1" applyFill="1" applyAlignment="1">
      <alignment horizontal="right" vertical="center"/>
    </xf>
    <xf numFmtId="0" fontId="27" fillId="0" borderId="0" xfId="10" applyFont="1" applyAlignment="1">
      <alignment vertical="center"/>
    </xf>
    <xf numFmtId="0" fontId="23" fillId="0" borderId="0" xfId="10" applyFont="1" applyBorder="1" applyAlignment="1">
      <alignment vertical="center"/>
    </xf>
    <xf numFmtId="39" fontId="23" fillId="0" borderId="0" xfId="10" applyNumberFormat="1" applyFont="1" applyAlignment="1" applyProtection="1">
      <alignment horizontal="left" vertical="center"/>
    </xf>
    <xf numFmtId="0" fontId="23" fillId="0" borderId="0" xfId="10" applyFont="1" applyAlignment="1">
      <alignment horizontal="center" vertical="center"/>
    </xf>
    <xf numFmtId="208" fontId="23" fillId="0" borderId="0" xfId="10" applyNumberFormat="1" applyFont="1" applyAlignment="1" applyProtection="1">
      <alignment horizontal="right" vertical="center"/>
    </xf>
    <xf numFmtId="39" fontId="23" fillId="0" borderId="0" xfId="10" applyNumberFormat="1" applyFont="1" applyAlignment="1" applyProtection="1">
      <alignment horizontal="right" vertical="center"/>
    </xf>
    <xf numFmtId="37" fontId="23" fillId="0" borderId="0" xfId="10" applyNumberFormat="1" applyFont="1" applyAlignment="1">
      <alignment vertical="center"/>
    </xf>
    <xf numFmtId="208" fontId="23" fillId="0" borderId="0" xfId="11" applyNumberFormat="1" applyFont="1" applyAlignment="1">
      <alignment horizontal="right" vertical="center"/>
    </xf>
    <xf numFmtId="208" fontId="23" fillId="12" borderId="0" xfId="11" applyNumberFormat="1" applyFont="1" applyFill="1" applyAlignment="1">
      <alignment horizontal="right" vertical="center"/>
    </xf>
    <xf numFmtId="208" fontId="23" fillId="0" borderId="0" xfId="11" applyNumberFormat="1" applyFont="1" applyAlignment="1" applyProtection="1">
      <alignment horizontal="right" vertical="center"/>
    </xf>
    <xf numFmtId="39" fontId="23" fillId="0" borderId="0" xfId="10" quotePrefix="1" applyNumberFormat="1" applyFont="1" applyAlignment="1" applyProtection="1">
      <alignment horizontal="left" vertical="center"/>
    </xf>
    <xf numFmtId="193" fontId="23" fillId="12" borderId="0" xfId="10" applyNumberFormat="1" applyFont="1" applyFill="1" applyAlignment="1">
      <alignment vertical="center"/>
    </xf>
    <xf numFmtId="208" fontId="79" fillId="0" borderId="16" xfId="11" applyNumberFormat="1" applyFont="1" applyFill="1" applyBorder="1" applyAlignment="1">
      <alignment horizontal="right" vertical="center"/>
    </xf>
    <xf numFmtId="4" fontId="23" fillId="12" borderId="0" xfId="11" applyNumberFormat="1" applyFont="1" applyFill="1" applyAlignment="1">
      <alignment horizontal="right" vertical="center"/>
    </xf>
    <xf numFmtId="0" fontId="87" fillId="0" borderId="0" xfId="10" applyFont="1" applyAlignment="1">
      <alignment vertical="center"/>
    </xf>
    <xf numFmtId="208" fontId="41" fillId="0" borderId="0" xfId="11" applyNumberFormat="1" applyFont="1" applyAlignment="1" applyProtection="1">
      <alignment horizontal="left" vertical="center"/>
    </xf>
    <xf numFmtId="208" fontId="41" fillId="0" borderId="0" xfId="11" applyNumberFormat="1" applyFont="1" applyAlignment="1" applyProtection="1">
      <alignment horizontal="right" vertical="center"/>
    </xf>
    <xf numFmtId="0" fontId="23" fillId="0" borderId="0" xfId="10" applyFont="1" applyAlignment="1">
      <alignment horizontal="left" vertical="center"/>
    </xf>
    <xf numFmtId="208" fontId="41" fillId="0" borderId="0" xfId="11" applyNumberFormat="1" applyFont="1" applyAlignment="1" applyProtection="1">
      <alignment horizontal="right" vertical="center" shrinkToFit="1"/>
    </xf>
    <xf numFmtId="0" fontId="88" fillId="0" borderId="0" xfId="10" applyFont="1" applyAlignment="1">
      <alignment vertical="center"/>
    </xf>
    <xf numFmtId="43" fontId="23" fillId="0" borderId="0" xfId="10" applyNumberFormat="1" applyFont="1" applyAlignment="1" applyProtection="1">
      <alignment horizontal="center" vertical="center"/>
      <protection hidden="1"/>
    </xf>
    <xf numFmtId="187" fontId="23" fillId="0" borderId="0" xfId="11" applyNumberFormat="1" applyFont="1" applyFill="1" applyAlignment="1" applyProtection="1">
      <alignment horizontal="right" vertical="center"/>
    </xf>
    <xf numFmtId="210" fontId="23" fillId="0" borderId="0" xfId="10" applyNumberFormat="1" applyFont="1" applyFill="1" applyAlignment="1">
      <alignment vertical="center"/>
    </xf>
    <xf numFmtId="0" fontId="32" fillId="0" borderId="0" xfId="10" applyFont="1" applyAlignment="1">
      <alignment vertical="center"/>
    </xf>
    <xf numFmtId="187" fontId="23" fillId="0" borderId="0" xfId="11" applyNumberFormat="1" applyFont="1" applyAlignment="1">
      <alignment horizontal="right" vertical="center"/>
    </xf>
    <xf numFmtId="208" fontId="79" fillId="0" borderId="16" xfId="11" applyNumberFormat="1" applyFont="1" applyFill="1" applyBorder="1" applyAlignment="1" applyProtection="1">
      <alignment horizontal="right" vertical="center"/>
    </xf>
    <xf numFmtId="0" fontId="23" fillId="0" borderId="0" xfId="10" applyFont="1" applyFill="1" applyAlignment="1" applyProtection="1">
      <alignment vertical="center"/>
    </xf>
    <xf numFmtId="2" fontId="23" fillId="0" borderId="0" xfId="10" applyNumberFormat="1" applyFont="1" applyFill="1" applyAlignment="1" applyProtection="1">
      <alignment horizontal="center" vertical="center"/>
    </xf>
    <xf numFmtId="0" fontId="23" fillId="0" borderId="0" xfId="10" applyFont="1" applyFill="1" applyAlignment="1" applyProtection="1">
      <alignment horizontal="right" vertical="center"/>
    </xf>
    <xf numFmtId="208" fontId="23" fillId="0" borderId="0" xfId="11" applyNumberFormat="1" applyFont="1" applyFill="1" applyAlignment="1" applyProtection="1">
      <alignment horizontal="right" vertical="center"/>
    </xf>
    <xf numFmtId="37" fontId="43" fillId="0" borderId="0" xfId="10" applyNumberFormat="1" applyFont="1" applyAlignment="1">
      <alignment vertical="center"/>
    </xf>
    <xf numFmtId="0" fontId="23" fillId="0" borderId="0" xfId="10" applyFont="1" applyAlignment="1" applyProtection="1">
      <alignment horizontal="right" vertical="center"/>
    </xf>
    <xf numFmtId="0" fontId="23" fillId="0" borderId="0" xfId="10" applyFont="1" applyAlignment="1" applyProtection="1">
      <alignment vertical="center"/>
    </xf>
    <xf numFmtId="208" fontId="79" fillId="0" borderId="0" xfId="11" applyNumberFormat="1" applyFont="1" applyFill="1" applyAlignment="1" applyProtection="1">
      <alignment horizontal="right" vertical="center"/>
    </xf>
    <xf numFmtId="0" fontId="43" fillId="0" borderId="0" xfId="10" applyFont="1" applyFill="1" applyAlignment="1" applyProtection="1">
      <alignment vertical="center"/>
    </xf>
    <xf numFmtId="208" fontId="79" fillId="54" borderId="0" xfId="11" applyNumberFormat="1" applyFont="1" applyFill="1" applyAlignment="1" applyProtection="1">
      <alignment horizontal="left" vertical="center"/>
    </xf>
    <xf numFmtId="187" fontId="23" fillId="0" borderId="0" xfId="11" applyNumberFormat="1" applyFont="1" applyFill="1" applyAlignment="1">
      <alignment vertical="center"/>
    </xf>
    <xf numFmtId="208" fontId="23" fillId="0" borderId="0" xfId="11" applyNumberFormat="1" applyFont="1" applyFill="1" applyAlignment="1">
      <alignment horizontal="right" vertical="center"/>
    </xf>
    <xf numFmtId="2" fontId="79" fillId="0" borderId="0" xfId="11" applyNumberFormat="1" applyFont="1" applyFill="1" applyAlignment="1">
      <alignment horizontal="right" vertical="center"/>
    </xf>
    <xf numFmtId="208" fontId="66" fillId="0" borderId="0" xfId="11" applyNumberFormat="1" applyFont="1" applyFill="1" applyAlignment="1">
      <alignment horizontal="right" vertical="center"/>
    </xf>
    <xf numFmtId="0" fontId="23" fillId="0" borderId="16" xfId="10" applyFont="1" applyBorder="1" applyAlignment="1" applyProtection="1">
      <alignment vertical="center"/>
    </xf>
    <xf numFmtId="0" fontId="23" fillId="0" borderId="13" xfId="10" applyFont="1" applyBorder="1" applyAlignment="1" applyProtection="1">
      <alignment horizontal="left" vertical="center"/>
      <protection hidden="1"/>
    </xf>
    <xf numFmtId="0" fontId="23" fillId="0" borderId="12" xfId="10" applyFont="1" applyBorder="1" applyAlignment="1" applyProtection="1">
      <alignment horizontal="center" vertical="center"/>
      <protection hidden="1"/>
    </xf>
    <xf numFmtId="0" fontId="23" fillId="0" borderId="28" xfId="10" applyFont="1" applyFill="1" applyBorder="1" applyAlignment="1">
      <alignment vertical="center"/>
    </xf>
    <xf numFmtId="0" fontId="23" fillId="0" borderId="13" xfId="10" applyFont="1" applyBorder="1" applyAlignment="1" applyProtection="1">
      <alignment vertical="center"/>
      <protection hidden="1"/>
    </xf>
    <xf numFmtId="0" fontId="23" fillId="0" borderId="25" xfId="10" applyFont="1" applyBorder="1" applyAlignment="1" applyProtection="1">
      <alignment horizontal="left" vertical="center"/>
      <protection hidden="1"/>
    </xf>
    <xf numFmtId="0" fontId="23" fillId="0" borderId="30" xfId="10" applyFont="1" applyBorder="1" applyAlignment="1" applyProtection="1">
      <alignment horizontal="center" vertical="center"/>
      <protection hidden="1"/>
    </xf>
    <xf numFmtId="0" fontId="23" fillId="0" borderId="11" xfId="10" applyFont="1" applyBorder="1" applyAlignment="1" applyProtection="1">
      <alignment horizontal="left" vertical="center"/>
      <protection hidden="1"/>
    </xf>
    <xf numFmtId="189" fontId="23" fillId="0" borderId="27" xfId="10" applyNumberFormat="1" applyFont="1" applyBorder="1" applyAlignment="1" applyProtection="1">
      <alignment horizontal="center" vertical="center"/>
      <protection hidden="1"/>
    </xf>
    <xf numFmtId="0" fontId="23" fillId="0" borderId="25" xfId="10" applyFont="1" applyBorder="1" applyAlignment="1" applyProtection="1">
      <alignment vertical="center"/>
      <protection hidden="1"/>
    </xf>
    <xf numFmtId="0" fontId="23" fillId="0" borderId="11" xfId="10" applyFont="1" applyBorder="1" applyAlignment="1" applyProtection="1">
      <alignment vertical="center"/>
      <protection hidden="1"/>
    </xf>
    <xf numFmtId="0" fontId="23" fillId="0" borderId="94" xfId="10" applyFont="1" applyBorder="1" applyAlignment="1" applyProtection="1">
      <alignment vertical="center"/>
    </xf>
    <xf numFmtId="187" fontId="23" fillId="0" borderId="17" xfId="11" applyNumberFormat="1" applyFont="1" applyFill="1" applyBorder="1" applyAlignment="1" applyProtection="1">
      <alignment horizontal="right" vertical="center"/>
    </xf>
    <xf numFmtId="0" fontId="23" fillId="0" borderId="27" xfId="10" applyFont="1" applyBorder="1" applyAlignment="1" applyProtection="1">
      <alignment vertical="center"/>
      <protection hidden="1"/>
    </xf>
    <xf numFmtId="0" fontId="23" fillId="0" borderId="99" xfId="10" applyFont="1" applyBorder="1" applyAlignment="1" applyProtection="1">
      <alignment vertical="center"/>
    </xf>
    <xf numFmtId="187" fontId="23" fillId="0" borderId="14" xfId="11" applyNumberFormat="1" applyFont="1" applyFill="1" applyBorder="1" applyAlignment="1" applyProtection="1">
      <alignment horizontal="right" vertical="center"/>
    </xf>
    <xf numFmtId="189" fontId="23" fillId="0" borderId="26" xfId="10" applyNumberFormat="1" applyFont="1" applyBorder="1" applyAlignment="1" applyProtection="1">
      <alignment horizontal="center" vertical="center"/>
      <protection hidden="1"/>
    </xf>
    <xf numFmtId="0" fontId="23" fillId="0" borderId="14" xfId="10" applyFont="1" applyBorder="1" applyAlignment="1" applyProtection="1">
      <alignment vertical="center"/>
      <protection hidden="1"/>
    </xf>
    <xf numFmtId="0" fontId="23" fillId="0" borderId="26" xfId="10" applyFont="1" applyBorder="1" applyAlignment="1" applyProtection="1">
      <alignment vertical="center"/>
      <protection hidden="1"/>
    </xf>
    <xf numFmtId="208" fontId="79" fillId="0" borderId="0" xfId="10" applyNumberFormat="1" applyFont="1" applyFill="1" applyAlignment="1">
      <alignment horizontal="right" vertical="center"/>
    </xf>
    <xf numFmtId="210" fontId="27" fillId="0" borderId="0" xfId="10" applyNumberFormat="1" applyFont="1" applyFill="1" applyAlignment="1" applyProtection="1">
      <alignment horizontal="left" vertical="center"/>
    </xf>
    <xf numFmtId="210" fontId="27" fillId="0" borderId="0" xfId="10" applyNumberFormat="1" applyFont="1" applyFill="1" applyAlignment="1" applyProtection="1">
      <alignment horizontal="center" vertical="center"/>
    </xf>
    <xf numFmtId="208" fontId="23" fillId="0" borderId="0" xfId="10" applyNumberFormat="1" applyFont="1" applyFill="1" applyAlignment="1" applyProtection="1">
      <alignment horizontal="right" vertical="center"/>
    </xf>
    <xf numFmtId="0" fontId="23" fillId="0" borderId="0" xfId="10" applyFont="1" applyFill="1" applyAlignment="1" applyProtection="1">
      <alignment horizontal="center" vertical="center"/>
    </xf>
    <xf numFmtId="187" fontId="23" fillId="0" borderId="0" xfId="11" applyNumberFormat="1" applyFont="1" applyFill="1" applyAlignment="1" applyProtection="1">
      <alignment vertical="center"/>
    </xf>
    <xf numFmtId="49" fontId="23" fillId="0" borderId="0" xfId="10" applyNumberFormat="1" applyFont="1" applyFill="1" applyAlignment="1" applyProtection="1">
      <alignment horizontal="right" vertical="center"/>
    </xf>
    <xf numFmtId="2" fontId="66" fillId="0" borderId="0" xfId="10" applyNumberFormat="1" applyFont="1" applyFill="1" applyAlignment="1" applyProtection="1">
      <alignment horizontal="right" vertical="center"/>
    </xf>
    <xf numFmtId="0" fontId="43" fillId="0" borderId="10" xfId="10" applyFont="1" applyFill="1" applyBorder="1" applyAlignment="1" applyProtection="1">
      <alignment horizontal="center" vertical="center"/>
    </xf>
    <xf numFmtId="2" fontId="41" fillId="0" borderId="0" xfId="10" applyNumberFormat="1" applyFont="1" applyFill="1" applyAlignment="1" applyProtection="1">
      <alignment horizontal="right" vertical="center"/>
    </xf>
    <xf numFmtId="0" fontId="23" fillId="0" borderId="2" xfId="10" applyFont="1" applyFill="1" applyBorder="1" applyAlignment="1" applyProtection="1">
      <alignment horizontal="center" vertical="center"/>
    </xf>
    <xf numFmtId="2" fontId="23" fillId="0" borderId="0" xfId="10" applyNumberFormat="1" applyFont="1" applyFill="1" applyAlignment="1" applyProtection="1">
      <alignment horizontal="right" vertical="center"/>
    </xf>
    <xf numFmtId="0" fontId="23" fillId="0" borderId="2" xfId="10" applyFont="1" applyFill="1" applyBorder="1" applyAlignment="1">
      <alignment horizontal="center" vertical="center"/>
    </xf>
    <xf numFmtId="0" fontId="27" fillId="0" borderId="0" xfId="10" applyFont="1" applyFill="1" applyAlignment="1" applyProtection="1">
      <alignment vertical="center"/>
    </xf>
    <xf numFmtId="0" fontId="23" fillId="0" borderId="15" xfId="10" applyFont="1" applyFill="1" applyBorder="1" applyAlignment="1" applyProtection="1">
      <alignment horizontal="center" vertical="center"/>
    </xf>
    <xf numFmtId="1" fontId="66" fillId="0" borderId="0" xfId="10" applyNumberFormat="1" applyFont="1" applyFill="1" applyAlignment="1" applyProtection="1">
      <alignment vertical="center"/>
    </xf>
    <xf numFmtId="189" fontId="23" fillId="0" borderId="0" xfId="10" applyNumberFormat="1" applyFont="1" applyFill="1" applyAlignment="1" applyProtection="1">
      <alignment horizontal="right" vertical="center"/>
    </xf>
    <xf numFmtId="0" fontId="23" fillId="0" borderId="16" xfId="10" applyFont="1" applyFill="1" applyBorder="1" applyAlignment="1" applyProtection="1">
      <alignment horizontal="center" vertical="center"/>
    </xf>
    <xf numFmtId="0" fontId="23" fillId="12" borderId="0" xfId="10" applyFont="1" applyFill="1" applyAlignment="1" applyProtection="1">
      <alignment vertical="center"/>
      <protection hidden="1"/>
    </xf>
    <xf numFmtId="0" fontId="23" fillId="12" borderId="0" xfId="10" applyFont="1" applyFill="1" applyAlignment="1" applyProtection="1">
      <alignment horizontal="right" vertical="center"/>
      <protection hidden="1"/>
    </xf>
    <xf numFmtId="187" fontId="23" fillId="12" borderId="0" xfId="11" applyNumberFormat="1" applyFont="1" applyFill="1" applyAlignment="1" applyProtection="1">
      <alignment horizontal="right" vertical="center"/>
      <protection hidden="1"/>
    </xf>
    <xf numFmtId="0" fontId="23" fillId="12" borderId="0" xfId="10" applyFont="1" applyFill="1" applyAlignment="1" applyProtection="1">
      <alignment horizontal="right" vertical="center"/>
    </xf>
    <xf numFmtId="0" fontId="23" fillId="0" borderId="0" xfId="10" applyFont="1" applyFill="1" applyBorder="1" applyAlignment="1" applyProtection="1">
      <alignment vertical="center"/>
      <protection hidden="1"/>
    </xf>
    <xf numFmtId="0" fontId="32" fillId="12" borderId="0" xfId="10" applyFont="1" applyFill="1" applyAlignment="1" applyProtection="1">
      <alignment horizontal="right" vertical="center"/>
      <protection hidden="1"/>
    </xf>
    <xf numFmtId="0" fontId="23" fillId="0" borderId="0" xfId="13" applyFont="1" applyFill="1" applyBorder="1" applyAlignment="1">
      <alignment vertical="center"/>
    </xf>
    <xf numFmtId="187" fontId="23" fillId="0" borderId="0" xfId="11" applyNumberFormat="1" applyFont="1" applyFill="1" applyAlignment="1" applyProtection="1">
      <alignment horizontal="right" vertical="center"/>
      <protection hidden="1"/>
    </xf>
    <xf numFmtId="2" fontId="23" fillId="0" borderId="0" xfId="10" applyNumberFormat="1" applyFont="1" applyFill="1" applyAlignment="1" applyProtection="1">
      <alignment vertical="center"/>
      <protection hidden="1"/>
    </xf>
    <xf numFmtId="0" fontId="23" fillId="0" borderId="0" xfId="10" applyFont="1" applyFill="1" applyBorder="1" applyAlignment="1" applyProtection="1">
      <alignment horizontal="right" vertical="center"/>
      <protection hidden="1"/>
    </xf>
    <xf numFmtId="0" fontId="23" fillId="2" borderId="0" xfId="10" applyFont="1" applyFill="1" applyAlignment="1" applyProtection="1">
      <alignment vertical="center"/>
      <protection hidden="1"/>
    </xf>
    <xf numFmtId="208" fontId="23" fillId="2" borderId="0" xfId="11" applyNumberFormat="1" applyFont="1" applyFill="1" applyAlignment="1" applyProtection="1">
      <alignment horizontal="right" vertical="center"/>
      <protection hidden="1"/>
    </xf>
    <xf numFmtId="0" fontId="23" fillId="2" borderId="0" xfId="10" applyFont="1" applyFill="1" applyAlignment="1" applyProtection="1">
      <alignment horizontal="right" vertical="center"/>
      <protection hidden="1"/>
    </xf>
    <xf numFmtId="0" fontId="27" fillId="0" borderId="0" xfId="10" applyFont="1" applyAlignment="1" applyProtection="1">
      <alignment horizontal="left" vertical="center"/>
      <protection hidden="1"/>
    </xf>
    <xf numFmtId="0" fontId="27" fillId="0" borderId="0" xfId="10" applyFont="1" applyFill="1" applyAlignment="1" applyProtection="1">
      <alignment vertical="center"/>
      <protection hidden="1"/>
    </xf>
    <xf numFmtId="0" fontId="27" fillId="0" borderId="0" xfId="10" applyFont="1" applyFill="1" applyAlignment="1" applyProtection="1">
      <alignment horizontal="left" vertical="center"/>
      <protection hidden="1"/>
    </xf>
    <xf numFmtId="43" fontId="23" fillId="0" borderId="0" xfId="10" applyNumberFormat="1" applyFont="1" applyAlignment="1" applyProtection="1">
      <alignment horizontal="right" vertical="center"/>
      <protection hidden="1"/>
    </xf>
    <xf numFmtId="0" fontId="23" fillId="0" borderId="0" xfId="0" applyFont="1" applyBorder="1"/>
    <xf numFmtId="2" fontId="58" fillId="0" borderId="16" xfId="1" applyNumberFormat="1" applyFont="1" applyBorder="1" applyAlignment="1">
      <alignment horizontal="center"/>
    </xf>
    <xf numFmtId="0" fontId="21" fillId="0" borderId="70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5" fillId="0" borderId="0" xfId="5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center" vertical="center"/>
    </xf>
    <xf numFmtId="0" fontId="47" fillId="0" borderId="70" xfId="5" applyFont="1" applyBorder="1" applyAlignment="1">
      <alignment horizontal="center" vertical="center"/>
    </xf>
    <xf numFmtId="0" fontId="47" fillId="0" borderId="0" xfId="5" applyFont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center" vertical="center"/>
    </xf>
    <xf numFmtId="0" fontId="49" fillId="0" borderId="70" xfId="5" applyFont="1" applyBorder="1" applyAlignment="1">
      <alignment vertical="center"/>
    </xf>
    <xf numFmtId="0" fontId="49" fillId="0" borderId="0" xfId="5" applyFont="1" applyBorder="1" applyAlignment="1">
      <alignment vertical="center"/>
    </xf>
    <xf numFmtId="0" fontId="47" fillId="0" borderId="70" xfId="5" applyFont="1" applyBorder="1" applyAlignment="1">
      <alignment vertical="top"/>
    </xf>
    <xf numFmtId="0" fontId="47" fillId="0" borderId="0" xfId="5" applyFont="1" applyBorder="1" applyAlignment="1">
      <alignment vertical="top"/>
    </xf>
    <xf numFmtId="0" fontId="40" fillId="0" borderId="0" xfId="0" applyFont="1" applyBorder="1" applyProtection="1"/>
    <xf numFmtId="0" fontId="38" fillId="0" borderId="0" xfId="5" applyFont="1" applyBorder="1"/>
    <xf numFmtId="0" fontId="38" fillId="0" borderId="0" xfId="0" applyNumberFormat="1" applyFont="1" applyFill="1" applyBorder="1" applyAlignment="1" applyProtection="1">
      <alignment horizontal="center"/>
    </xf>
    <xf numFmtId="191" fontId="56" fillId="0" borderId="0" xfId="5" applyNumberFormat="1" applyFont="1" applyBorder="1"/>
    <xf numFmtId="0" fontId="43" fillId="0" borderId="70" xfId="5" applyFont="1" applyBorder="1"/>
    <xf numFmtId="0" fontId="43" fillId="0" borderId="0" xfId="5" applyFont="1" applyBorder="1" applyAlignment="1">
      <alignment vertical="center"/>
    </xf>
    <xf numFmtId="0" fontId="26" fillId="0" borderId="0" xfId="5" applyFont="1" applyBorder="1" applyAlignment="1">
      <alignment horizontal="center" vertical="center"/>
    </xf>
    <xf numFmtId="0" fontId="122" fillId="0" borderId="0" xfId="5" applyFont="1" applyFill="1" applyBorder="1" applyAlignment="1">
      <alignment horizontal="center" vertical="center"/>
    </xf>
    <xf numFmtId="201" fontId="122" fillId="0" borderId="0" xfId="5" applyNumberFormat="1" applyFont="1" applyFill="1" applyBorder="1" applyAlignment="1" applyProtection="1">
      <alignment horizontal="center" vertical="center"/>
      <protection locked="0"/>
    </xf>
    <xf numFmtId="0" fontId="122" fillId="0" borderId="0" xfId="5" applyFont="1" applyBorder="1" applyAlignment="1">
      <alignment horizontal="center" vertical="center"/>
    </xf>
    <xf numFmtId="191" fontId="122" fillId="0" borderId="0" xfId="5" applyNumberFormat="1" applyFont="1" applyFill="1" applyBorder="1" applyAlignment="1">
      <alignment horizontal="center" vertical="center"/>
    </xf>
    <xf numFmtId="0" fontId="122" fillId="0" borderId="0" xfId="5" applyFont="1" applyFill="1" applyBorder="1" applyAlignment="1">
      <alignment vertical="center"/>
    </xf>
    <xf numFmtId="0" fontId="123" fillId="0" borderId="0" xfId="5" applyFont="1" applyBorder="1"/>
    <xf numFmtId="0" fontId="34" fillId="0" borderId="62" xfId="5" applyFont="1" applyFill="1" applyBorder="1" applyAlignment="1">
      <alignment vertical="center"/>
    </xf>
    <xf numFmtId="0" fontId="34" fillId="0" borderId="62" xfId="5" applyFont="1" applyBorder="1" applyAlignment="1">
      <alignment vertical="center"/>
    </xf>
    <xf numFmtId="0" fontId="122" fillId="0" borderId="0" xfId="0" applyFont="1" applyBorder="1" applyProtection="1"/>
    <xf numFmtId="0" fontId="26" fillId="0" borderId="28" xfId="5" applyFont="1" applyBorder="1" applyAlignment="1">
      <alignment vertical="center"/>
    </xf>
    <xf numFmtId="0" fontId="26" fillId="0" borderId="13" xfId="5" applyFont="1" applyBorder="1" applyAlignment="1">
      <alignment vertical="center"/>
    </xf>
    <xf numFmtId="0" fontId="26" fillId="0" borderId="71" xfId="5" applyFont="1" applyBorder="1" applyAlignment="1">
      <alignment vertical="center"/>
    </xf>
    <xf numFmtId="0" fontId="21" fillId="0" borderId="0" xfId="4" applyFont="1" applyFill="1" applyBorder="1" applyAlignment="1">
      <alignment vertical="center"/>
    </xf>
    <xf numFmtId="0" fontId="21" fillId="0" borderId="15" xfId="5" applyFont="1" applyBorder="1" applyAlignment="1">
      <alignment horizontal="center"/>
    </xf>
    <xf numFmtId="205" fontId="21" fillId="0" borderId="29" xfId="5" applyNumberFormat="1" applyFont="1" applyFill="1" applyBorder="1" applyAlignment="1">
      <alignment horizontal="left" vertical="center"/>
    </xf>
    <xf numFmtId="0" fontId="43" fillId="0" borderId="29" xfId="5" applyFont="1" applyBorder="1"/>
    <xf numFmtId="0" fontId="43" fillId="0" borderId="14" xfId="5" applyFont="1" applyBorder="1"/>
    <xf numFmtId="0" fontId="21" fillId="0" borderId="30" xfId="5" applyFont="1" applyBorder="1" applyAlignment="1">
      <alignment horizontal="center"/>
    </xf>
    <xf numFmtId="0" fontId="43" fillId="0" borderId="30" xfId="5" applyFont="1" applyBorder="1"/>
    <xf numFmtId="204" fontId="21" fillId="0" borderId="0" xfId="5" applyNumberFormat="1" applyFont="1" applyFill="1" applyBorder="1" applyAlignment="1">
      <alignment horizontal="center" vertical="center"/>
    </xf>
    <xf numFmtId="0" fontId="21" fillId="0" borderId="0" xfId="5" applyFont="1" applyBorder="1" applyAlignment="1">
      <alignment horizontal="center"/>
    </xf>
    <xf numFmtId="0" fontId="21" fillId="0" borderId="51" xfId="5" applyFont="1" applyBorder="1" applyAlignment="1">
      <alignment horizontal="center"/>
    </xf>
    <xf numFmtId="205" fontId="21" fillId="0" borderId="51" xfId="5" applyNumberFormat="1" applyFont="1" applyFill="1" applyBorder="1" applyAlignment="1">
      <alignment horizontal="left" vertical="center"/>
    </xf>
    <xf numFmtId="0" fontId="43" fillId="0" borderId="51" xfId="5" applyFont="1" applyBorder="1"/>
    <xf numFmtId="0" fontId="47" fillId="0" borderId="70" xfId="5" applyFont="1" applyBorder="1" applyAlignment="1">
      <alignment vertical="center"/>
    </xf>
    <xf numFmtId="189" fontId="47" fillId="0" borderId="0" xfId="5" applyNumberFormat="1" applyFont="1" applyBorder="1" applyAlignment="1">
      <alignment vertical="center"/>
    </xf>
    <xf numFmtId="0" fontId="45" fillId="0" borderId="70" xfId="5" applyFont="1" applyBorder="1" applyAlignment="1">
      <alignment vertical="center"/>
    </xf>
    <xf numFmtId="0" fontId="45" fillId="0" borderId="0" xfId="5" applyFont="1" applyBorder="1" applyAlignment="1">
      <alignment vertical="center"/>
    </xf>
    <xf numFmtId="0" fontId="45" fillId="0" borderId="62" xfId="5" applyFont="1" applyBorder="1" applyAlignment="1">
      <alignment vertical="center"/>
    </xf>
    <xf numFmtId="0" fontId="123" fillId="0" borderId="0" xfId="5" applyFont="1" applyBorder="1" applyAlignment="1">
      <alignment vertical="center"/>
    </xf>
    <xf numFmtId="0" fontId="43" fillId="0" borderId="0" xfId="5" applyFont="1" applyAlignment="1">
      <alignment vertical="center"/>
    </xf>
    <xf numFmtId="0" fontId="21" fillId="0" borderId="0" xfId="0" applyFont="1" applyAlignment="1"/>
    <xf numFmtId="0" fontId="21" fillId="0" borderId="62" xfId="5" applyFont="1" applyFill="1" applyBorder="1" applyAlignment="1">
      <alignment horizontal="right" vertical="center"/>
    </xf>
    <xf numFmtId="0" fontId="2" fillId="0" borderId="0" xfId="0" applyFont="1"/>
    <xf numFmtId="20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10" borderId="0" xfId="0" applyFill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2" fontId="0" fillId="0" borderId="16" xfId="0" applyNumberFormat="1" applyBorder="1" applyAlignment="1">
      <alignment horizontal="right"/>
    </xf>
    <xf numFmtId="4" fontId="0" fillId="0" borderId="16" xfId="0" applyNumberFormat="1" applyBorder="1"/>
    <xf numFmtId="189" fontId="0" fillId="0" borderId="16" xfId="0" applyNumberFormat="1" applyBorder="1" applyAlignment="1">
      <alignment horizontal="right"/>
    </xf>
    <xf numFmtId="4" fontId="0" fillId="0" borderId="16" xfId="0" applyNumberFormat="1" applyBorder="1" applyAlignment="1">
      <alignment horizontal="right"/>
    </xf>
    <xf numFmtId="0" fontId="0" fillId="0" borderId="16" xfId="0" applyBorder="1"/>
    <xf numFmtId="0" fontId="125" fillId="0" borderId="0" xfId="0" applyFont="1"/>
    <xf numFmtId="43" fontId="0" fillId="0" borderId="0" xfId="0" applyNumberFormat="1"/>
    <xf numFmtId="0" fontId="126" fillId="0" borderId="0" xfId="0" applyFont="1"/>
    <xf numFmtId="0" fontId="125" fillId="0" borderId="0" xfId="0" applyFont="1" applyAlignment="1">
      <alignment horizontal="center"/>
    </xf>
    <xf numFmtId="43" fontId="125" fillId="0" borderId="0" xfId="0" applyNumberFormat="1" applyFont="1"/>
    <xf numFmtId="0" fontId="2" fillId="10" borderId="16" xfId="0" applyFont="1" applyFill="1" applyBorder="1" applyAlignment="1">
      <alignment horizontal="center"/>
    </xf>
    <xf numFmtId="201" fontId="0" fillId="10" borderId="16" xfId="0" applyNumberFormat="1" applyFill="1" applyBorder="1" applyAlignment="1">
      <alignment horizontal="center"/>
    </xf>
    <xf numFmtId="2" fontId="0" fillId="10" borderId="16" xfId="0" applyNumberFormat="1" applyFill="1" applyBorder="1" applyAlignment="1">
      <alignment horizontal="right"/>
    </xf>
    <xf numFmtId="2" fontId="0" fillId="10" borderId="16" xfId="1" applyNumberFormat="1" applyFont="1" applyFill="1" applyBorder="1" applyAlignment="1">
      <alignment horizontal="right"/>
    </xf>
    <xf numFmtId="43" fontId="0" fillId="10" borderId="16" xfId="1" applyFont="1" applyFill="1" applyBorder="1" applyAlignment="1">
      <alignment horizontal="right"/>
    </xf>
    <xf numFmtId="207" fontId="0" fillId="0" borderId="16" xfId="1" applyNumberFormat="1" applyFont="1" applyBorder="1" applyAlignment="1">
      <alignment horizontal="right"/>
    </xf>
    <xf numFmtId="43" fontId="0" fillId="0" borderId="16" xfId="1" applyFont="1" applyBorder="1" applyAlignment="1">
      <alignment horizontal="right"/>
    </xf>
    <xf numFmtId="43" fontId="0" fillId="0" borderId="16" xfId="1" applyFont="1" applyBorder="1"/>
    <xf numFmtId="2" fontId="0" fillId="0" borderId="16" xfId="1" applyNumberFormat="1" applyFont="1" applyBorder="1" applyAlignment="1">
      <alignment horizontal="right"/>
    </xf>
    <xf numFmtId="43" fontId="0" fillId="0" borderId="16" xfId="1" applyNumberFormat="1" applyFon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201" fontId="0" fillId="0" borderId="0" xfId="0" applyNumberFormat="1" applyFill="1" applyBorder="1" applyAlignment="1">
      <alignment horizontal="center"/>
    </xf>
    <xf numFmtId="43" fontId="0" fillId="0" borderId="0" xfId="1" applyFont="1" applyFill="1" applyBorder="1" applyAlignment="1">
      <alignment horizontal="right"/>
    </xf>
    <xf numFmtId="43" fontId="0" fillId="0" borderId="0" xfId="1" applyFont="1" applyFill="1" applyBorder="1" applyAlignment="1">
      <alignment horizontal="center"/>
    </xf>
    <xf numFmtId="43" fontId="0" fillId="0" borderId="0" xfId="1" applyFont="1" applyFill="1" applyBorder="1"/>
    <xf numFmtId="43" fontId="0" fillId="0" borderId="16" xfId="1" applyFont="1" applyBorder="1" applyAlignment="1">
      <alignment horizontal="center"/>
    </xf>
    <xf numFmtId="0" fontId="21" fillId="0" borderId="0" xfId="5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center" vertical="center"/>
    </xf>
    <xf numFmtId="0" fontId="25" fillId="0" borderId="0" xfId="5" applyFont="1" applyFill="1" applyBorder="1" applyAlignment="1">
      <alignment horizontal="center" vertical="center"/>
    </xf>
    <xf numFmtId="0" fontId="21" fillId="0" borderId="29" xfId="5" applyFont="1" applyFill="1" applyBorder="1" applyAlignment="1">
      <alignment horizontal="center" vertical="center"/>
    </xf>
    <xf numFmtId="0" fontId="46" fillId="0" borderId="0" xfId="5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 vertical="center"/>
    </xf>
    <xf numFmtId="0" fontId="2" fillId="0" borderId="0" xfId="4"/>
    <xf numFmtId="0" fontId="46" fillId="0" borderId="0" xfId="5" applyFont="1" applyBorder="1" applyAlignment="1">
      <alignment vertical="center"/>
    </xf>
    <xf numFmtId="9" fontId="61" fillId="0" borderId="0" xfId="128" applyFont="1" applyFill="1" applyBorder="1" applyAlignment="1">
      <alignment horizontal="left" vertical="center"/>
    </xf>
    <xf numFmtId="9" fontId="61" fillId="0" borderId="0" xfId="128" applyFont="1" applyFill="1" applyBorder="1" applyAlignment="1">
      <alignment horizontal="center"/>
    </xf>
    <xf numFmtId="196" fontId="61" fillId="0" borderId="0" xfId="128" applyNumberFormat="1" applyFont="1" applyFill="1" applyBorder="1" applyAlignment="1">
      <alignment horizontal="center" vertical="center"/>
    </xf>
    <xf numFmtId="9" fontId="62" fillId="0" borderId="0" xfId="128" applyNumberFormat="1" applyFont="1" applyFill="1" applyBorder="1" applyAlignment="1">
      <alignment horizontal="left" vertical="center"/>
    </xf>
    <xf numFmtId="3" fontId="25" fillId="0" borderId="0" xfId="129" applyNumberFormat="1" applyFont="1" applyFill="1" applyBorder="1" applyAlignment="1">
      <alignment horizontal="center" vertical="center"/>
    </xf>
    <xf numFmtId="3" fontId="25" fillId="0" borderId="0" xfId="129" applyNumberFormat="1" applyFont="1" applyFill="1" applyBorder="1" applyAlignment="1">
      <alignment horizontal="centerContinuous" vertical="center"/>
    </xf>
    <xf numFmtId="41" fontId="27" fillId="0" borderId="0" xfId="129" applyNumberFormat="1" applyFont="1" applyFill="1" applyBorder="1" applyAlignment="1">
      <alignment horizontal="center" vertical="center"/>
    </xf>
    <xf numFmtId="2" fontId="38" fillId="0" borderId="0" xfId="5" applyNumberFormat="1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 vertical="center"/>
    </xf>
    <xf numFmtId="0" fontId="21" fillId="0" borderId="29" xfId="5" applyFont="1" applyFill="1" applyBorder="1" applyAlignment="1">
      <alignment horizontal="center" vertical="center"/>
    </xf>
    <xf numFmtId="0" fontId="25" fillId="0" borderId="0" xfId="5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center" vertical="center"/>
    </xf>
    <xf numFmtId="0" fontId="21" fillId="0" borderId="70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1" fillId="0" borderId="74" xfId="5" applyFont="1" applyFill="1" applyBorder="1" applyAlignment="1">
      <alignment vertical="center"/>
    </xf>
    <xf numFmtId="0" fontId="21" fillId="0" borderId="29" xfId="5" applyFont="1" applyFill="1" applyBorder="1" applyAlignment="1">
      <alignment vertical="center"/>
    </xf>
    <xf numFmtId="0" fontId="21" fillId="0" borderId="14" xfId="5" applyFont="1" applyFill="1" applyBorder="1" applyAlignment="1">
      <alignment vertical="center"/>
    </xf>
    <xf numFmtId="0" fontId="128" fillId="0" borderId="16" xfId="0" applyFont="1" applyBorder="1" applyAlignment="1">
      <alignment horizontal="centerContinuous" vertical="center"/>
    </xf>
    <xf numFmtId="0" fontId="128" fillId="0" borderId="12" xfId="0" applyFont="1" applyBorder="1" applyAlignment="1">
      <alignment horizontal="centerContinuous" vertical="center"/>
    </xf>
    <xf numFmtId="0" fontId="128" fillId="0" borderId="13" xfId="0" applyFont="1" applyBorder="1" applyAlignment="1">
      <alignment horizontal="centerContinuous" vertical="center"/>
    </xf>
    <xf numFmtId="0" fontId="128" fillId="0" borderId="2" xfId="0" applyFont="1" applyBorder="1" applyAlignment="1">
      <alignment horizontal="center"/>
    </xf>
    <xf numFmtId="0" fontId="128" fillId="0" borderId="17" xfId="0" applyFont="1" applyBorder="1" applyAlignment="1">
      <alignment horizontal="center"/>
    </xf>
    <xf numFmtId="0" fontId="128" fillId="0" borderId="28" xfId="0" applyFont="1" applyBorder="1" applyAlignment="1">
      <alignment horizontal="centerContinuous" vertical="center"/>
    </xf>
    <xf numFmtId="0" fontId="128" fillId="0" borderId="17" xfId="0" applyFont="1" applyBorder="1" applyAlignment="1">
      <alignment horizontal="centerContinuous" vertical="center"/>
    </xf>
    <xf numFmtId="0" fontId="128" fillId="0" borderId="17" xfId="0" applyFont="1" applyBorder="1"/>
    <xf numFmtId="0" fontId="128" fillId="0" borderId="15" xfId="0" applyFont="1" applyBorder="1"/>
    <xf numFmtId="0" fontId="128" fillId="0" borderId="14" xfId="0" applyFont="1" applyBorder="1" applyAlignment="1">
      <alignment horizontal="center"/>
    </xf>
    <xf numFmtId="0" fontId="128" fillId="0" borderId="16" xfId="0" applyFont="1" applyBorder="1" applyAlignment="1">
      <alignment horizontal="center"/>
    </xf>
    <xf numFmtId="0" fontId="128" fillId="0" borderId="12" xfId="0" applyFont="1" applyBorder="1" applyAlignment="1">
      <alignment horizontal="center"/>
    </xf>
    <xf numFmtId="187" fontId="128" fillId="0" borderId="2" xfId="103" applyFont="1" applyBorder="1" applyAlignment="1">
      <alignment horizontal="centerContinuous" vertical="center"/>
    </xf>
    <xf numFmtId="187" fontId="128" fillId="0" borderId="17" xfId="103" applyFont="1" applyBorder="1" applyAlignment="1">
      <alignment horizontal="centerContinuous" vertical="center"/>
    </xf>
    <xf numFmtId="0" fontId="128" fillId="0" borderId="2" xfId="0" applyFont="1" applyBorder="1"/>
    <xf numFmtId="187" fontId="128" fillId="0" borderId="15" xfId="103" applyFont="1" applyBorder="1" applyAlignment="1">
      <alignment horizontal="centerContinuous" vertical="center"/>
    </xf>
    <xf numFmtId="187" fontId="128" fillId="0" borderId="14" xfId="103" applyFont="1" applyBorder="1" applyAlignment="1">
      <alignment horizontal="centerContinuous" vertical="center"/>
    </xf>
    <xf numFmtId="0" fontId="128" fillId="0" borderId="26" xfId="0" applyFont="1" applyBorder="1" applyAlignment="1">
      <alignment horizontal="center"/>
    </xf>
    <xf numFmtId="0" fontId="128" fillId="0" borderId="29" xfId="0" applyFont="1" applyBorder="1"/>
    <xf numFmtId="0" fontId="0" fillId="0" borderId="29" xfId="0" applyBorder="1"/>
    <xf numFmtId="0" fontId="0" fillId="0" borderId="14" xfId="0" applyBorder="1"/>
    <xf numFmtId="0" fontId="129" fillId="0" borderId="0" xfId="0" applyFont="1" applyAlignment="1">
      <alignment horizontal="center"/>
    </xf>
    <xf numFmtId="0" fontId="130" fillId="0" borderId="0" xfId="130" applyFont="1" applyAlignment="1">
      <alignment horizontal="center"/>
    </xf>
    <xf numFmtId="0" fontId="130" fillId="0" borderId="0" xfId="130" applyFont="1"/>
    <xf numFmtId="0" fontId="130" fillId="0" borderId="10" xfId="130" applyFont="1" applyBorder="1" applyAlignment="1">
      <alignment horizontal="center"/>
    </xf>
    <xf numFmtId="0" fontId="130" fillId="0" borderId="2" xfId="130" applyFont="1" applyBorder="1" applyAlignment="1">
      <alignment horizontal="center"/>
    </xf>
    <xf numFmtId="0" fontId="130" fillId="0" borderId="15" xfId="130" applyFont="1" applyBorder="1" applyAlignment="1">
      <alignment horizontal="center"/>
    </xf>
    <xf numFmtId="0" fontId="130" fillId="0" borderId="16" xfId="130" applyFont="1" applyBorder="1" applyAlignment="1">
      <alignment horizontal="center"/>
    </xf>
    <xf numFmtId="0" fontId="130" fillId="0" borderId="28" xfId="130" applyFont="1" applyBorder="1" applyAlignment="1">
      <alignment horizontal="centerContinuous"/>
    </xf>
    <xf numFmtId="0" fontId="130" fillId="0" borderId="12" xfId="130" applyFont="1" applyBorder="1" applyAlignment="1">
      <alignment horizontal="centerContinuous"/>
    </xf>
    <xf numFmtId="0" fontId="130" fillId="0" borderId="28" xfId="130" applyFont="1" applyBorder="1" applyAlignment="1">
      <alignment horizontal="right"/>
    </xf>
    <xf numFmtId="225" fontId="130" fillId="0" borderId="12" xfId="130" applyNumberFormat="1" applyFont="1" applyBorder="1" applyAlignment="1">
      <alignment horizontal="left"/>
    </xf>
    <xf numFmtId="0" fontId="38" fillId="0" borderId="0" xfId="130" applyFont="1" applyAlignment="1">
      <alignment horizontal="center"/>
    </xf>
    <xf numFmtId="0" fontId="38" fillId="0" borderId="0" xfId="130" applyFont="1"/>
    <xf numFmtId="0" fontId="38" fillId="0" borderId="16" xfId="130" applyFont="1" applyBorder="1" applyAlignment="1">
      <alignment horizontal="center"/>
    </xf>
    <xf numFmtId="0" fontId="131" fillId="58" borderId="0" xfId="130" applyFont="1" applyFill="1" applyAlignment="1">
      <alignment horizontal="left"/>
    </xf>
    <xf numFmtId="0" fontId="132" fillId="58" borderId="0" xfId="130" applyFont="1" applyFill="1" applyAlignment="1">
      <alignment horizontal="center"/>
    </xf>
    <xf numFmtId="43" fontId="131" fillId="0" borderId="16" xfId="131" applyFont="1" applyBorder="1" applyAlignment="1">
      <alignment horizontal="center"/>
    </xf>
    <xf numFmtId="226" fontId="38" fillId="0" borderId="16" xfId="130" applyNumberFormat="1" applyFont="1" applyBorder="1" applyAlignment="1">
      <alignment horizontal="right"/>
    </xf>
    <xf numFmtId="0" fontId="131" fillId="0" borderId="16" xfId="130" applyFont="1" applyBorder="1" applyAlignment="1">
      <alignment horizontal="center"/>
    </xf>
    <xf numFmtId="0" fontId="38" fillId="0" borderId="10" xfId="130" applyFont="1" applyBorder="1" applyAlignment="1">
      <alignment horizontal="center"/>
    </xf>
    <xf numFmtId="0" fontId="38" fillId="0" borderId="15" xfId="130" applyFont="1" applyBorder="1" applyAlignment="1">
      <alignment horizontal="center"/>
    </xf>
    <xf numFmtId="2" fontId="38" fillId="0" borderId="16" xfId="130" applyNumberFormat="1" applyFont="1" applyBorder="1" applyAlignment="1">
      <alignment horizontal="center"/>
    </xf>
    <xf numFmtId="0" fontId="21" fillId="0" borderId="28" xfId="130" applyFont="1" applyBorder="1"/>
    <xf numFmtId="0" fontId="21" fillId="0" borderId="16" xfId="130" applyFont="1" applyBorder="1" applyAlignment="1">
      <alignment horizontal="right"/>
    </xf>
    <xf numFmtId="0" fontId="21" fillId="0" borderId="28" xfId="130" applyFont="1" applyBorder="1" applyAlignment="1">
      <alignment horizontal="centerContinuous"/>
    </xf>
    <xf numFmtId="0" fontId="21" fillId="0" borderId="12" xfId="130" applyFont="1" applyBorder="1" applyAlignment="1">
      <alignment horizontal="centerContinuous"/>
    </xf>
    <xf numFmtId="0" fontId="21" fillId="0" borderId="16" xfId="130" applyFont="1" applyBorder="1" applyAlignment="1">
      <alignment horizontal="center"/>
    </xf>
    <xf numFmtId="0" fontId="38" fillId="0" borderId="0" xfId="130" applyFont="1" applyBorder="1" applyAlignment="1">
      <alignment horizontal="center"/>
    </xf>
    <xf numFmtId="2" fontId="38" fillId="0" borderId="15" xfId="130" applyNumberFormat="1" applyFont="1" applyBorder="1" applyAlignment="1">
      <alignment horizontal="center"/>
    </xf>
    <xf numFmtId="0" fontId="38" fillId="0" borderId="28" xfId="130" applyFont="1" applyBorder="1" applyAlignment="1">
      <alignment horizontal="center"/>
    </xf>
    <xf numFmtId="225" fontId="38" fillId="0" borderId="12" xfId="130" applyNumberFormat="1" applyFont="1" applyBorder="1" applyAlignment="1">
      <alignment horizontal="center"/>
    </xf>
    <xf numFmtId="43" fontId="38" fillId="0" borderId="16" xfId="130" applyNumberFormat="1" applyFont="1" applyBorder="1" applyAlignment="1">
      <alignment horizontal="center"/>
    </xf>
    <xf numFmtId="43" fontId="38" fillId="0" borderId="16" xfId="131" applyFont="1" applyBorder="1" applyAlignment="1">
      <alignment horizontal="center"/>
    </xf>
    <xf numFmtId="43" fontId="38" fillId="0" borderId="26" xfId="131" applyFont="1" applyBorder="1" applyAlignment="1">
      <alignment horizontal="center"/>
    </xf>
    <xf numFmtId="43" fontId="38" fillId="0" borderId="14" xfId="131" applyFont="1" applyBorder="1" applyAlignment="1">
      <alignment horizontal="center"/>
    </xf>
    <xf numFmtId="0" fontId="26" fillId="58" borderId="10" xfId="130" applyFont="1" applyFill="1" applyBorder="1" applyAlignment="1">
      <alignment horizontal="centerContinuous"/>
    </xf>
    <xf numFmtId="0" fontId="26" fillId="58" borderId="10" xfId="130" applyFont="1" applyFill="1" applyBorder="1" applyAlignment="1">
      <alignment horizontal="center"/>
    </xf>
    <xf numFmtId="0" fontId="131" fillId="58" borderId="0" xfId="130" applyFont="1" applyFill="1" applyAlignment="1">
      <alignment horizontal="center"/>
    </xf>
    <xf numFmtId="0" fontId="26" fillId="58" borderId="12" xfId="130" applyFont="1" applyFill="1" applyBorder="1" applyAlignment="1">
      <alignment horizontal="center"/>
    </xf>
    <xf numFmtId="0" fontId="26" fillId="58" borderId="16" xfId="130" applyFont="1" applyFill="1" applyBorder="1" applyAlignment="1">
      <alignment horizontal="center"/>
    </xf>
    <xf numFmtId="0" fontId="26" fillId="58" borderId="28" xfId="130" applyFont="1" applyFill="1" applyBorder="1" applyAlignment="1">
      <alignment horizontal="center"/>
    </xf>
    <xf numFmtId="0" fontId="26" fillId="58" borderId="28" xfId="130" applyFont="1" applyFill="1" applyBorder="1" applyAlignment="1">
      <alignment horizontal="centerContinuous"/>
    </xf>
    <xf numFmtId="0" fontId="26" fillId="58" borderId="15" xfId="130" applyFont="1" applyFill="1" applyBorder="1" applyAlignment="1">
      <alignment horizontal="center"/>
    </xf>
    <xf numFmtId="0" fontId="130" fillId="0" borderId="0" xfId="130" applyFont="1" applyFill="1" applyAlignment="1">
      <alignment horizontal="center"/>
    </xf>
    <xf numFmtId="0" fontId="38" fillId="0" borderId="0" xfId="130" applyFont="1" applyAlignment="1">
      <alignment horizontal="right"/>
    </xf>
    <xf numFmtId="43" fontId="38" fillId="0" borderId="12" xfId="130" applyNumberFormat="1" applyFont="1" applyBorder="1" applyAlignment="1">
      <alignment horizontal="center"/>
    </xf>
    <xf numFmtId="43" fontId="53" fillId="0" borderId="16" xfId="131" applyFont="1" applyFill="1" applyBorder="1" applyAlignment="1">
      <alignment horizontal="center"/>
    </xf>
    <xf numFmtId="43" fontId="53" fillId="0" borderId="16" xfId="131" applyFont="1" applyFill="1" applyBorder="1" applyAlignment="1">
      <alignment horizontal="right"/>
    </xf>
    <xf numFmtId="43" fontId="53" fillId="0" borderId="16" xfId="130" applyNumberFormat="1" applyFont="1" applyBorder="1" applyAlignment="1">
      <alignment horizontal="center"/>
    </xf>
    <xf numFmtId="43" fontId="130" fillId="0" borderId="0" xfId="130" applyNumberFormat="1" applyFont="1" applyAlignment="1">
      <alignment horizontal="center"/>
    </xf>
    <xf numFmtId="43" fontId="38" fillId="0" borderId="13" xfId="130" applyNumberFormat="1" applyFont="1" applyBorder="1" applyAlignment="1">
      <alignment horizontal="center"/>
    </xf>
    <xf numFmtId="43" fontId="38" fillId="0" borderId="15" xfId="130" applyNumberFormat="1" applyFont="1" applyBorder="1" applyAlignment="1">
      <alignment horizontal="center"/>
    </xf>
    <xf numFmtId="43" fontId="53" fillId="0" borderId="15" xfId="131" applyFont="1" applyFill="1" applyBorder="1" applyAlignment="1">
      <alignment horizontal="center"/>
    </xf>
    <xf numFmtId="0" fontId="26" fillId="0" borderId="16" xfId="130" applyFont="1" applyBorder="1" applyAlignment="1">
      <alignment horizontal="center"/>
    </xf>
    <xf numFmtId="43" fontId="38" fillId="0" borderId="12" xfId="131" applyFont="1" applyBorder="1" applyAlignment="1">
      <alignment horizontal="center"/>
    </xf>
    <xf numFmtId="43" fontId="134" fillId="0" borderId="16" xfId="131" applyFont="1" applyFill="1" applyBorder="1" applyAlignment="1">
      <alignment horizontal="center"/>
    </xf>
    <xf numFmtId="43" fontId="38" fillId="0" borderId="16" xfId="1" applyFont="1" applyBorder="1" applyAlignment="1">
      <alignment horizontal="center"/>
    </xf>
    <xf numFmtId="0" fontId="26" fillId="0" borderId="0" xfId="130" applyFont="1" applyAlignment="1">
      <alignment horizontal="center"/>
    </xf>
    <xf numFmtId="43" fontId="26" fillId="0" borderId="16" xfId="130" applyNumberFormat="1" applyFont="1" applyBorder="1"/>
    <xf numFmtId="0" fontId="135" fillId="0" borderId="0" xfId="132" applyFont="1" applyAlignment="1">
      <alignment horizontal="center"/>
    </xf>
    <xf numFmtId="0" fontId="26" fillId="0" borderId="0" xfId="130" applyFont="1" applyAlignment="1">
      <alignment horizontal="left"/>
    </xf>
    <xf numFmtId="0" fontId="26" fillId="0" borderId="0" xfId="130" applyFont="1" applyFill="1" applyAlignment="1">
      <alignment horizontal="left"/>
    </xf>
    <xf numFmtId="43" fontId="26" fillId="0" borderId="16" xfId="130" applyNumberFormat="1" applyFont="1" applyFill="1" applyBorder="1"/>
    <xf numFmtId="0" fontId="130" fillId="0" borderId="0" xfId="130" applyFont="1" applyAlignment="1">
      <alignment horizontal="right"/>
    </xf>
    <xf numFmtId="0" fontId="136" fillId="0" borderId="0" xfId="132" applyFont="1" applyAlignment="1">
      <alignment horizontal="center"/>
    </xf>
    <xf numFmtId="0" fontId="130" fillId="0" borderId="0" xfId="130" applyFont="1" applyAlignment="1">
      <alignment horizontal="left"/>
    </xf>
    <xf numFmtId="39" fontId="53" fillId="0" borderId="0" xfId="133" applyNumberFormat="1" applyFont="1" applyFill="1" applyAlignment="1">
      <alignment horizontal="center"/>
    </xf>
    <xf numFmtId="39" fontId="53" fillId="0" borderId="0" xfId="133" applyNumberFormat="1" applyFont="1" applyFill="1" applyAlignment="1">
      <alignment horizontal="left"/>
    </xf>
    <xf numFmtId="0" fontId="134" fillId="0" borderId="0" xfId="133" applyFont="1" applyFill="1" applyAlignment="1">
      <alignment horizontal="center"/>
    </xf>
    <xf numFmtId="0" fontId="53" fillId="0" borderId="0" xfId="133" applyFont="1"/>
    <xf numFmtId="0" fontId="134" fillId="0" borderId="0" xfId="133" applyFont="1"/>
    <xf numFmtId="0" fontId="137" fillId="0" borderId="0" xfId="136" applyAlignment="1">
      <alignment horizontal="center"/>
    </xf>
    <xf numFmtId="0" fontId="137" fillId="0" borderId="0" xfId="136"/>
    <xf numFmtId="4" fontId="137" fillId="10" borderId="0" xfId="136" applyNumberFormat="1" applyFill="1"/>
    <xf numFmtId="4" fontId="137" fillId="0" borderId="0" xfId="136" applyNumberFormat="1"/>
    <xf numFmtId="4" fontId="137" fillId="0" borderId="0" xfId="136" applyNumberFormat="1" applyFill="1"/>
    <xf numFmtId="0" fontId="53" fillId="0" borderId="0" xfId="133" applyFont="1" applyAlignment="1">
      <alignment horizontal="center" vertical="top"/>
    </xf>
    <xf numFmtId="0" fontId="134" fillId="0" borderId="0" xfId="135" applyFont="1" applyFill="1" applyAlignment="1">
      <alignment horizontal="left" vertical="top"/>
    </xf>
    <xf numFmtId="0" fontId="134" fillId="0" borderId="0" xfId="135" applyFont="1" applyFill="1" applyAlignment="1">
      <alignment vertical="top"/>
    </xf>
    <xf numFmtId="0" fontId="134" fillId="0" borderId="0" xfId="133" applyFont="1" applyAlignment="1">
      <alignment horizontal="left" vertical="top"/>
    </xf>
    <xf numFmtId="0" fontId="134" fillId="0" borderId="0" xfId="133" applyFont="1" applyAlignment="1">
      <alignment horizontal="center" vertical="top"/>
    </xf>
    <xf numFmtId="0" fontId="134" fillId="0" borderId="0" xfId="135" applyFont="1" applyFill="1" applyAlignment="1">
      <alignment horizontal="center" vertical="top"/>
    </xf>
    <xf numFmtId="0" fontId="134" fillId="0" borderId="0" xfId="135" applyFont="1" applyFill="1" applyAlignment="1">
      <alignment horizontal="centerContinuous" vertical="top"/>
    </xf>
    <xf numFmtId="0" fontId="53" fillId="0" borderId="0" xfId="133" applyFont="1" applyFill="1"/>
    <xf numFmtId="0" fontId="134" fillId="0" borderId="10" xfId="133" applyFont="1" applyFill="1" applyBorder="1" applyAlignment="1">
      <alignment horizontal="center"/>
    </xf>
    <xf numFmtId="0" fontId="134" fillId="0" borderId="14" xfId="133" applyFont="1" applyFill="1" applyBorder="1" applyAlignment="1">
      <alignment horizontal="center"/>
    </xf>
    <xf numFmtId="0" fontId="134" fillId="0" borderId="15" xfId="133" applyFont="1" applyFill="1" applyBorder="1" applyAlignment="1">
      <alignment horizontal="center"/>
    </xf>
    <xf numFmtId="0" fontId="53" fillId="0" borderId="10" xfId="133" applyNumberFormat="1" applyFont="1" applyFill="1" applyBorder="1" applyAlignment="1">
      <alignment horizontal="center"/>
    </xf>
    <xf numFmtId="0" fontId="53" fillId="0" borderId="10" xfId="133" applyFont="1" applyFill="1" applyBorder="1"/>
    <xf numFmtId="187" fontId="53" fillId="0" borderId="10" xfId="134" applyNumberFormat="1" applyFont="1" applyFill="1" applyBorder="1" applyAlignment="1">
      <alignment horizontal="center"/>
    </xf>
    <xf numFmtId="2" fontId="53" fillId="0" borderId="10" xfId="133" applyNumberFormat="1" applyFont="1" applyFill="1" applyBorder="1" applyAlignment="1">
      <alignment horizontal="center"/>
    </xf>
    <xf numFmtId="0" fontId="53" fillId="0" borderId="94" xfId="133" applyNumberFormat="1" applyFont="1" applyFill="1" applyBorder="1" applyAlignment="1">
      <alignment horizontal="center"/>
    </xf>
    <xf numFmtId="0" fontId="53" fillId="0" borderId="94" xfId="133" applyFont="1" applyFill="1" applyBorder="1" applyAlignment="1">
      <alignment horizontal="left" vertical="center" wrapText="1"/>
    </xf>
    <xf numFmtId="43" fontId="53" fillId="0" borderId="94" xfId="1" applyFont="1" applyFill="1" applyBorder="1" applyAlignment="1">
      <alignment horizontal="center" vertical="center"/>
    </xf>
    <xf numFmtId="2" fontId="53" fillId="0" borderId="94" xfId="133" applyNumberFormat="1" applyFont="1" applyFill="1" applyBorder="1" applyAlignment="1">
      <alignment horizontal="center"/>
    </xf>
    <xf numFmtId="43" fontId="53" fillId="0" borderId="94" xfId="1" applyFont="1" applyFill="1" applyBorder="1" applyAlignment="1">
      <alignment horizontal="center"/>
    </xf>
    <xf numFmtId="43" fontId="53" fillId="0" borderId="94" xfId="133" applyNumberFormat="1" applyFont="1" applyFill="1" applyBorder="1" applyAlignment="1">
      <alignment horizontal="center" vertical="center"/>
    </xf>
    <xf numFmtId="49" fontId="53" fillId="0" borderId="94" xfId="133" applyNumberFormat="1" applyFont="1" applyFill="1" applyBorder="1" applyAlignment="1">
      <alignment horizontal="center"/>
    </xf>
    <xf numFmtId="0" fontId="53" fillId="0" borderId="94" xfId="133" applyFont="1" applyFill="1" applyBorder="1"/>
    <xf numFmtId="187" fontId="53" fillId="0" borderId="94" xfId="134" applyNumberFormat="1" applyFont="1" applyFill="1" applyBorder="1" applyAlignment="1">
      <alignment horizontal="center"/>
    </xf>
    <xf numFmtId="208" fontId="53" fillId="0" borderId="94" xfId="134" applyNumberFormat="1" applyFont="1" applyFill="1" applyBorder="1" applyAlignment="1">
      <alignment horizontal="center"/>
    </xf>
    <xf numFmtId="0" fontId="53" fillId="0" borderId="94" xfId="133" applyFont="1" applyFill="1" applyBorder="1" applyAlignment="1">
      <alignment horizontal="left"/>
    </xf>
    <xf numFmtId="187" fontId="53" fillId="0" borderId="94" xfId="134" applyNumberFormat="1" applyFont="1" applyFill="1" applyBorder="1"/>
    <xf numFmtId="0" fontId="53" fillId="0" borderId="94" xfId="133" applyFont="1" applyFill="1" applyBorder="1" applyAlignment="1">
      <alignment horizontal="center"/>
    </xf>
    <xf numFmtId="187" fontId="53" fillId="59" borderId="94" xfId="134" applyNumberFormat="1" applyFont="1" applyFill="1" applyBorder="1"/>
    <xf numFmtId="187" fontId="38" fillId="59" borderId="94" xfId="4" applyNumberFormat="1" applyFont="1" applyFill="1" applyBorder="1" applyAlignment="1" applyProtection="1"/>
    <xf numFmtId="0" fontId="53" fillId="0" borderId="94" xfId="133" applyFont="1" applyFill="1" applyBorder="1" applyAlignment="1">
      <alignment shrinkToFit="1"/>
    </xf>
    <xf numFmtId="43" fontId="53" fillId="0" borderId="94" xfId="133" applyNumberFormat="1" applyFont="1" applyFill="1" applyBorder="1"/>
    <xf numFmtId="49" fontId="53" fillId="0" borderId="15" xfId="133" applyNumberFormat="1" applyFont="1" applyFill="1" applyBorder="1" applyAlignment="1">
      <alignment horizontal="center"/>
    </xf>
    <xf numFmtId="0" fontId="53" fillId="0" borderId="15" xfId="133" applyFont="1" applyFill="1" applyBorder="1" applyAlignment="1">
      <alignment horizontal="left"/>
    </xf>
    <xf numFmtId="187" fontId="53" fillId="0" borderId="15" xfId="134" applyNumberFormat="1" applyFont="1" applyFill="1" applyBorder="1"/>
    <xf numFmtId="0" fontId="53" fillId="0" borderId="15" xfId="133" applyFont="1" applyFill="1" applyBorder="1"/>
    <xf numFmtId="0" fontId="53" fillId="0" borderId="16" xfId="133" applyFont="1" applyFill="1" applyBorder="1"/>
    <xf numFmtId="187" fontId="134" fillId="0" borderId="16" xfId="134" applyNumberFormat="1" applyFont="1" applyFill="1" applyBorder="1" applyAlignment="1">
      <alignment horizontal="center" vertical="center"/>
    </xf>
    <xf numFmtId="49" fontId="53" fillId="0" borderId="0" xfId="133" applyNumberFormat="1" applyFont="1" applyBorder="1" applyAlignment="1">
      <alignment horizontal="center"/>
    </xf>
    <xf numFmtId="0" fontId="53" fillId="0" borderId="0" xfId="133" applyFont="1" applyBorder="1" applyAlignment="1">
      <alignment horizontal="center" vertical="center"/>
    </xf>
    <xf numFmtId="187" fontId="53" fillId="0" borderId="0" xfId="134" applyNumberFormat="1" applyFont="1" applyBorder="1" applyAlignment="1">
      <alignment horizontal="center"/>
    </xf>
    <xf numFmtId="43" fontId="134" fillId="0" borderId="0" xfId="133" applyNumberFormat="1" applyFont="1"/>
    <xf numFmtId="39" fontId="134" fillId="0" borderId="0" xfId="133" applyNumberFormat="1" applyFont="1"/>
    <xf numFmtId="0" fontId="53" fillId="0" borderId="0" xfId="132" applyFont="1" applyAlignment="1">
      <alignment horizontal="center"/>
    </xf>
    <xf numFmtId="39" fontId="134" fillId="0" borderId="0" xfId="133" applyNumberFormat="1" applyFont="1" applyFill="1"/>
    <xf numFmtId="0" fontId="51" fillId="0" borderId="70" xfId="5" applyFont="1" applyFill="1" applyBorder="1" applyAlignment="1">
      <alignment vertical="center"/>
    </xf>
    <xf numFmtId="0" fontId="51" fillId="0" borderId="0" xfId="5" applyFont="1" applyFill="1" applyBorder="1" applyAlignment="1">
      <alignment vertical="center"/>
    </xf>
    <xf numFmtId="0" fontId="51" fillId="0" borderId="62" xfId="5" applyFont="1" applyFill="1" applyBorder="1" applyAlignment="1">
      <alignment vertical="center"/>
    </xf>
    <xf numFmtId="0" fontId="138" fillId="0" borderId="0" xfId="0" applyFont="1"/>
    <xf numFmtId="207" fontId="126" fillId="0" borderId="0" xfId="0" applyNumberFormat="1" applyFont="1" applyAlignment="1">
      <alignment horizontal="center"/>
    </xf>
    <xf numFmtId="0" fontId="2" fillId="10" borderId="16" xfId="4" applyFont="1" applyFill="1" applyBorder="1" applyAlignment="1">
      <alignment horizontal="center"/>
    </xf>
    <xf numFmtId="201" fontId="2" fillId="10" borderId="16" xfId="4" applyNumberFormat="1" applyFill="1" applyBorder="1" applyAlignment="1">
      <alignment horizontal="center"/>
    </xf>
    <xf numFmtId="2" fontId="2" fillId="10" borderId="16" xfId="4" applyNumberFormat="1" applyFill="1" applyBorder="1" applyAlignment="1">
      <alignment horizontal="right"/>
    </xf>
    <xf numFmtId="187" fontId="7" fillId="17" borderId="2" xfId="2" applyNumberFormat="1" applyFont="1" applyFill="1" applyBorder="1" applyAlignment="1" applyProtection="1"/>
    <xf numFmtId="187" fontId="7" fillId="17" borderId="2" xfId="2" applyNumberFormat="1" applyFont="1" applyFill="1" applyBorder="1" applyAlignment="1"/>
    <xf numFmtId="187" fontId="19" fillId="17" borderId="2" xfId="2" applyNumberFormat="1" applyFont="1" applyFill="1" applyBorder="1" applyAlignment="1"/>
    <xf numFmtId="187" fontId="19" fillId="0" borderId="2" xfId="2" applyNumberFormat="1" applyFont="1" applyFill="1" applyBorder="1" applyAlignment="1"/>
    <xf numFmtId="0" fontId="7" fillId="17" borderId="2" xfId="0" applyFont="1" applyFill="1" applyBorder="1" applyAlignment="1"/>
    <xf numFmtId="0" fontId="19" fillId="17" borderId="2" xfId="0" applyFont="1" applyFill="1" applyBorder="1" applyAlignment="1"/>
    <xf numFmtId="0" fontId="19" fillId="0" borderId="2" xfId="0" applyFont="1" applyFill="1" applyBorder="1" applyAlignment="1"/>
    <xf numFmtId="2" fontId="7" fillId="17" borderId="2" xfId="2" applyNumberFormat="1" applyFont="1" applyFill="1" applyBorder="1" applyAlignment="1"/>
    <xf numFmtId="2" fontId="19" fillId="17" borderId="2" xfId="2" applyNumberFormat="1" applyFont="1" applyFill="1" applyBorder="1" applyAlignment="1"/>
    <xf numFmtId="2" fontId="19" fillId="0" borderId="2" xfId="2" applyNumberFormat="1" applyFont="1" applyFill="1" applyBorder="1" applyAlignment="1"/>
    <xf numFmtId="0" fontId="7" fillId="17" borderId="2" xfId="0" applyFont="1" applyFill="1" applyBorder="1" applyAlignment="1">
      <alignment horizontal="center"/>
    </xf>
    <xf numFmtId="0" fontId="19" fillId="17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7" fillId="17" borderId="2" xfId="0" applyFont="1" applyFill="1" applyBorder="1"/>
    <xf numFmtId="2" fontId="7" fillId="17" borderId="2" xfId="0" applyNumberFormat="1" applyFont="1" applyFill="1" applyBorder="1"/>
    <xf numFmtId="0" fontId="19" fillId="17" borderId="2" xfId="0" applyFont="1" applyFill="1" applyBorder="1"/>
    <xf numFmtId="2" fontId="19" fillId="17" borderId="2" xfId="0" applyNumberFormat="1" applyFont="1" applyFill="1" applyBorder="1"/>
    <xf numFmtId="0" fontId="19" fillId="0" borderId="2" xfId="0" applyFont="1" applyBorder="1"/>
    <xf numFmtId="2" fontId="19" fillId="0" borderId="2" xfId="0" applyNumberFormat="1" applyFont="1" applyBorder="1"/>
    <xf numFmtId="39" fontId="4" fillId="4" borderId="45" xfId="2" applyFont="1" applyFill="1" applyBorder="1"/>
    <xf numFmtId="39" fontId="4" fillId="4" borderId="36" xfId="2" applyFont="1" applyFill="1" applyBorder="1"/>
    <xf numFmtId="39" fontId="4" fillId="4" borderId="37" xfId="2" applyFont="1" applyFill="1" applyBorder="1"/>
    <xf numFmtId="39" fontId="4" fillId="17" borderId="37" xfId="2" applyFont="1" applyFill="1" applyBorder="1"/>
    <xf numFmtId="39" fontId="4" fillId="17" borderId="48" xfId="2" applyFont="1" applyFill="1" applyBorder="1"/>
    <xf numFmtId="39" fontId="4" fillId="17" borderId="45" xfId="2" applyFont="1" applyFill="1" applyBorder="1"/>
    <xf numFmtId="39" fontId="4" fillId="17" borderId="36" xfId="2" applyFont="1" applyFill="1" applyBorder="1"/>
    <xf numFmtId="39" fontId="4" fillId="0" borderId="32" xfId="2" applyFont="1" applyBorder="1"/>
    <xf numFmtId="39" fontId="4" fillId="0" borderId="38" xfId="2" applyFont="1" applyBorder="1"/>
    <xf numFmtId="39" fontId="4" fillId="0" borderId="31" xfId="2" applyNumberFormat="1" applyFont="1" applyBorder="1" applyAlignment="1" applyProtection="1">
      <alignment horizontal="right"/>
    </xf>
    <xf numFmtId="39" fontId="4" fillId="0" borderId="31" xfId="2" applyFont="1" applyFill="1" applyBorder="1"/>
    <xf numFmtId="39" fontId="4" fillId="17" borderId="31" xfId="2" applyFont="1" applyFill="1" applyBorder="1"/>
    <xf numFmtId="39" fontId="4" fillId="17" borderId="31" xfId="2" applyNumberFormat="1" applyFont="1" applyFill="1" applyBorder="1" applyAlignment="1" applyProtection="1">
      <alignment horizontal="right"/>
    </xf>
    <xf numFmtId="39" fontId="4" fillId="17" borderId="46" xfId="2" applyNumberFormat="1" applyFont="1" applyFill="1" applyBorder="1" applyAlignment="1" applyProtection="1">
      <alignment horizontal="right"/>
    </xf>
    <xf numFmtId="39" fontId="4" fillId="17" borderId="59" xfId="2" applyNumberFormat="1" applyFont="1" applyFill="1" applyBorder="1" applyAlignment="1" applyProtection="1">
      <alignment horizontal="right"/>
    </xf>
    <xf numFmtId="39" fontId="4" fillId="0" borderId="59" xfId="2" applyNumberFormat="1" applyFont="1" applyBorder="1" applyAlignment="1" applyProtection="1">
      <alignment horizontal="right"/>
    </xf>
    <xf numFmtId="39" fontId="4" fillId="0" borderId="56" xfId="2" applyFont="1" applyBorder="1"/>
    <xf numFmtId="39" fontId="4" fillId="0" borderId="57" xfId="2" applyNumberFormat="1" applyFont="1" applyBorder="1" applyAlignment="1" applyProtection="1">
      <alignment horizontal="right"/>
    </xf>
    <xf numFmtId="39" fontId="4" fillId="0" borderId="57" xfId="2" applyFont="1" applyFill="1" applyBorder="1"/>
    <xf numFmtId="39" fontId="4" fillId="17" borderId="57" xfId="2" applyFont="1" applyFill="1" applyBorder="1"/>
    <xf numFmtId="39" fontId="4" fillId="17" borderId="57" xfId="2" applyNumberFormat="1" applyFont="1" applyFill="1" applyBorder="1" applyAlignment="1" applyProtection="1">
      <alignment horizontal="right"/>
    </xf>
    <xf numFmtId="2" fontId="4" fillId="17" borderId="55" xfId="0" applyNumberFormat="1" applyFont="1" applyFill="1" applyBorder="1"/>
    <xf numFmtId="39" fontId="4" fillId="17" borderId="58" xfId="2" applyNumberFormat="1" applyFont="1" applyFill="1" applyBorder="1" applyAlignment="1" applyProtection="1">
      <alignment horizontal="right"/>
    </xf>
    <xf numFmtId="39" fontId="4" fillId="0" borderId="39" xfId="2" applyFont="1" applyBorder="1"/>
    <xf numFmtId="39" fontId="4" fillId="0" borderId="33" xfId="2" applyNumberFormat="1" applyFont="1" applyBorder="1" applyAlignment="1" applyProtection="1">
      <alignment horizontal="right"/>
    </xf>
    <xf numFmtId="39" fontId="4" fillId="0" borderId="33" xfId="2" applyFont="1" applyFill="1" applyBorder="1"/>
    <xf numFmtId="39" fontId="4" fillId="17" borderId="33" xfId="2" applyFont="1" applyFill="1" applyBorder="1"/>
    <xf numFmtId="39" fontId="4" fillId="17" borderId="33" xfId="2" applyNumberFormat="1" applyFont="1" applyFill="1" applyBorder="1" applyAlignment="1" applyProtection="1">
      <alignment horizontal="right"/>
    </xf>
    <xf numFmtId="39" fontId="4" fillId="17" borderId="47" xfId="2" applyNumberFormat="1" applyFont="1" applyFill="1" applyBorder="1" applyAlignment="1" applyProtection="1">
      <alignment horizontal="right"/>
    </xf>
    <xf numFmtId="39" fontId="4" fillId="17" borderId="60" xfId="2" applyNumberFormat="1" applyFont="1" applyFill="1" applyBorder="1" applyAlignment="1" applyProtection="1">
      <alignment horizontal="right"/>
    </xf>
    <xf numFmtId="39" fontId="4" fillId="0" borderId="60" xfId="2" applyNumberFormat="1" applyFont="1" applyBorder="1" applyAlignment="1" applyProtection="1">
      <alignment horizontal="right"/>
    </xf>
    <xf numFmtId="2" fontId="4" fillId="17" borderId="0" xfId="0" applyNumberFormat="1" applyFont="1" applyFill="1" applyBorder="1"/>
    <xf numFmtId="39" fontId="4" fillId="17" borderId="61" xfId="2" applyNumberFormat="1" applyFont="1" applyFill="1" applyBorder="1" applyAlignment="1" applyProtection="1">
      <alignment horizontal="right"/>
    </xf>
    <xf numFmtId="39" fontId="4" fillId="0" borderId="61" xfId="2" applyNumberFormat="1" applyFont="1" applyBorder="1" applyAlignment="1" applyProtection="1">
      <alignment horizontal="right"/>
    </xf>
    <xf numFmtId="39" fontId="4" fillId="17" borderId="62" xfId="2" applyNumberFormat="1" applyFont="1" applyFill="1" applyBorder="1" applyAlignment="1" applyProtection="1">
      <alignment horizontal="right"/>
    </xf>
    <xf numFmtId="39" fontId="4" fillId="0" borderId="62" xfId="2" applyNumberFormat="1" applyFont="1" applyBorder="1" applyAlignment="1" applyProtection="1">
      <alignment horizontal="right"/>
    </xf>
    <xf numFmtId="39" fontId="4" fillId="0" borderId="41" xfId="2" applyFont="1" applyBorder="1"/>
    <xf numFmtId="39" fontId="4" fillId="0" borderId="42" xfId="2" applyNumberFormat="1" applyFont="1" applyBorder="1" applyAlignment="1" applyProtection="1">
      <alignment horizontal="right"/>
    </xf>
    <xf numFmtId="39" fontId="4" fillId="0" borderId="42" xfId="2" applyFont="1" applyFill="1" applyBorder="1"/>
    <xf numFmtId="39" fontId="4" fillId="17" borderId="42" xfId="2" applyFont="1" applyFill="1" applyBorder="1"/>
    <xf numFmtId="39" fontId="4" fillId="17" borderId="42" xfId="2" applyNumberFormat="1" applyFont="1" applyFill="1" applyBorder="1" applyAlignment="1" applyProtection="1">
      <alignment horizontal="right"/>
    </xf>
    <xf numFmtId="39" fontId="4" fillId="17" borderId="49" xfId="2" applyNumberFormat="1" applyFont="1" applyFill="1" applyBorder="1" applyAlignment="1" applyProtection="1">
      <alignment horizontal="right"/>
    </xf>
    <xf numFmtId="39" fontId="4" fillId="0" borderId="1" xfId="2" applyFont="1" applyBorder="1"/>
    <xf numFmtId="39" fontId="4" fillId="0" borderId="2" xfId="2" applyNumberFormat="1" applyFont="1" applyBorder="1" applyAlignment="1" applyProtection="1">
      <alignment horizontal="right"/>
    </xf>
    <xf numFmtId="39" fontId="4" fillId="0" borderId="2" xfId="2" applyFont="1" applyFill="1" applyBorder="1"/>
    <xf numFmtId="39" fontId="4" fillId="17" borderId="2" xfId="2" applyFont="1" applyFill="1" applyBorder="1"/>
    <xf numFmtId="39" fontId="4" fillId="17" borderId="2" xfId="2" applyNumberFormat="1" applyFont="1" applyFill="1" applyBorder="1" applyAlignment="1" applyProtection="1">
      <alignment horizontal="right"/>
    </xf>
    <xf numFmtId="39" fontId="4" fillId="17" borderId="24" xfId="2" applyNumberFormat="1" applyFont="1" applyFill="1" applyBorder="1" applyAlignment="1" applyProtection="1">
      <alignment horizontal="right"/>
    </xf>
    <xf numFmtId="39" fontId="4" fillId="0" borderId="2" xfId="2" applyFont="1" applyBorder="1"/>
    <xf numFmtId="39" fontId="4" fillId="0" borderId="62" xfId="2" applyNumberFormat="1" applyFont="1" applyFill="1" applyBorder="1" applyAlignment="1" applyProtection="1">
      <alignment horizontal="right"/>
    </xf>
    <xf numFmtId="39" fontId="4" fillId="0" borderId="52" xfId="2" applyFont="1" applyBorder="1"/>
    <xf numFmtId="39" fontId="4" fillId="0" borderId="35" xfId="2" applyNumberFormat="1" applyFont="1" applyBorder="1" applyAlignment="1" applyProtection="1">
      <alignment horizontal="right"/>
    </xf>
    <xf numFmtId="39" fontId="4" fillId="0" borderId="35" xfId="2" applyFont="1" applyFill="1" applyBorder="1"/>
    <xf numFmtId="39" fontId="4" fillId="17" borderId="35" xfId="2" applyFont="1" applyFill="1" applyBorder="1"/>
    <xf numFmtId="39" fontId="4" fillId="17" borderId="35" xfId="2" applyNumberFormat="1" applyFont="1" applyFill="1" applyBorder="1" applyAlignment="1" applyProtection="1">
      <alignment horizontal="right"/>
    </xf>
    <xf numFmtId="39" fontId="4" fillId="17" borderId="50" xfId="2" applyNumberFormat="1" applyFont="1" applyFill="1" applyBorder="1" applyAlignment="1" applyProtection="1">
      <alignment horizontal="right"/>
    </xf>
    <xf numFmtId="39" fontId="4" fillId="17" borderId="123" xfId="2" applyNumberFormat="1" applyFont="1" applyFill="1" applyBorder="1" applyAlignment="1" applyProtection="1">
      <alignment horizontal="right"/>
    </xf>
    <xf numFmtId="39" fontId="4" fillId="0" borderId="123" xfId="2" applyNumberFormat="1" applyFont="1" applyBorder="1" applyAlignment="1" applyProtection="1">
      <alignment horizontal="right"/>
    </xf>
    <xf numFmtId="2" fontId="4" fillId="17" borderId="18" xfId="0" applyNumberFormat="1" applyFont="1" applyFill="1" applyBorder="1"/>
    <xf numFmtId="39" fontId="4" fillId="4" borderId="45" xfId="2" applyNumberFormat="1" applyFont="1" applyFill="1" applyBorder="1"/>
    <xf numFmtId="39" fontId="4" fillId="4" borderId="37" xfId="2" applyNumberFormat="1" applyFont="1" applyFill="1" applyBorder="1" applyAlignment="1" applyProtection="1">
      <alignment horizontal="right"/>
    </xf>
    <xf numFmtId="39" fontId="4" fillId="4" borderId="37" xfId="2" applyNumberFormat="1" applyFont="1" applyFill="1" applyBorder="1"/>
    <xf numFmtId="39" fontId="4" fillId="17" borderId="37" xfId="2" applyNumberFormat="1" applyFont="1" applyFill="1" applyBorder="1"/>
    <xf numFmtId="39" fontId="4" fillId="17" borderId="37" xfId="2" applyNumberFormat="1" applyFont="1" applyFill="1" applyBorder="1" applyAlignment="1" applyProtection="1">
      <alignment horizontal="right"/>
    </xf>
    <xf numFmtId="39" fontId="4" fillId="17" borderId="63" xfId="2" applyNumberFormat="1" applyFont="1" applyFill="1" applyBorder="1" applyAlignment="1" applyProtection="1">
      <alignment horizontal="right"/>
    </xf>
    <xf numFmtId="39" fontId="4" fillId="4" borderId="48" xfId="2" applyNumberFormat="1" applyFont="1" applyFill="1" applyBorder="1" applyAlignment="1" applyProtection="1">
      <alignment horizontal="right"/>
    </xf>
    <xf numFmtId="39" fontId="4" fillId="4" borderId="64" xfId="2" applyNumberFormat="1" applyFont="1" applyFill="1" applyBorder="1" applyAlignment="1" applyProtection="1">
      <alignment horizontal="right"/>
    </xf>
    <xf numFmtId="0" fontId="4" fillId="4" borderId="48" xfId="0" applyFont="1" applyFill="1" applyBorder="1"/>
    <xf numFmtId="2" fontId="4" fillId="17" borderId="37" xfId="0" applyNumberFormat="1" applyFont="1" applyFill="1" applyBorder="1"/>
    <xf numFmtId="0" fontId="4" fillId="17" borderId="37" xfId="0" applyFont="1" applyFill="1" applyBorder="1"/>
    <xf numFmtId="0" fontId="4" fillId="4" borderId="37" xfId="0" applyFont="1" applyFill="1" applyBorder="1"/>
    <xf numFmtId="39" fontId="4" fillId="4" borderId="65" xfId="2" applyNumberFormat="1" applyFont="1" applyFill="1" applyBorder="1" applyAlignment="1" applyProtection="1">
      <alignment horizontal="right"/>
    </xf>
    <xf numFmtId="227" fontId="4" fillId="0" borderId="62" xfId="2" applyNumberFormat="1" applyFont="1" applyBorder="1" applyAlignment="1" applyProtection="1">
      <alignment horizontal="right"/>
    </xf>
    <xf numFmtId="0" fontId="7" fillId="17" borderId="2" xfId="0" applyFont="1" applyFill="1" applyBorder="1" applyAlignment="1">
      <alignment horizontal="right"/>
    </xf>
    <xf numFmtId="194" fontId="7" fillId="0" borderId="125" xfId="0" applyNumberFormat="1" applyFont="1" applyBorder="1" applyAlignment="1">
      <alignment horizontal="center"/>
    </xf>
    <xf numFmtId="43" fontId="0" fillId="17" borderId="16" xfId="1" applyFont="1" applyFill="1" applyBorder="1" applyAlignment="1">
      <alignment horizontal="right"/>
    </xf>
    <xf numFmtId="0" fontId="33" fillId="9" borderId="91" xfId="0" applyFont="1" applyFill="1" applyBorder="1" applyAlignment="1">
      <alignment horizontal="center" vertical="top"/>
    </xf>
    <xf numFmtId="188" fontId="33" fillId="9" borderId="91" xfId="0" applyNumberFormat="1" applyFont="1" applyFill="1" applyBorder="1" applyAlignment="1">
      <alignment horizontal="center" vertical="top"/>
    </xf>
    <xf numFmtId="2" fontId="33" fillId="9" borderId="94" xfId="0" applyNumberFormat="1" applyFont="1" applyFill="1" applyBorder="1" applyAlignment="1">
      <alignment vertical="top"/>
    </xf>
    <xf numFmtId="43" fontId="33" fillId="9" borderId="94" xfId="0" applyNumberFormat="1" applyFont="1" applyFill="1" applyBorder="1" applyAlignment="1">
      <alignment vertical="top"/>
    </xf>
    <xf numFmtId="207" fontId="33" fillId="9" borderId="94" xfId="0" applyNumberFormat="1" applyFont="1" applyFill="1" applyBorder="1" applyAlignment="1">
      <alignment vertical="top"/>
    </xf>
    <xf numFmtId="205" fontId="33" fillId="9" borderId="126" xfId="0" applyNumberFormat="1" applyFont="1" applyFill="1" applyBorder="1" applyAlignment="1">
      <alignment horizontal="center" vertical="top"/>
    </xf>
    <xf numFmtId="0" fontId="33" fillId="9" borderId="95" xfId="0" applyNumberFormat="1" applyFont="1" applyFill="1" applyBorder="1" applyAlignment="1">
      <alignment horizontal="center" vertical="top"/>
    </xf>
    <xf numFmtId="0" fontId="58" fillId="9" borderId="103" xfId="0" applyNumberFormat="1" applyFont="1" applyFill="1" applyBorder="1" applyAlignment="1">
      <alignment horizontal="center" vertical="top"/>
    </xf>
    <xf numFmtId="0" fontId="33" fillId="9" borderId="97" xfId="0" applyFont="1" applyFill="1" applyBorder="1" applyAlignment="1">
      <alignment vertical="top" wrapText="1"/>
    </xf>
    <xf numFmtId="0" fontId="33" fillId="9" borderId="97" xfId="0" applyFont="1" applyFill="1" applyBorder="1" applyAlignment="1">
      <alignment horizontal="center" vertical="top"/>
    </xf>
    <xf numFmtId="2" fontId="33" fillId="9" borderId="97" xfId="0" applyNumberFormat="1" applyFont="1" applyFill="1" applyBorder="1" applyAlignment="1">
      <alignment vertical="top"/>
    </xf>
    <xf numFmtId="43" fontId="33" fillId="9" borderId="97" xfId="0" applyNumberFormat="1" applyFont="1" applyFill="1" applyBorder="1" applyAlignment="1">
      <alignment vertical="top"/>
    </xf>
    <xf numFmtId="188" fontId="33" fillId="9" borderId="97" xfId="0" applyNumberFormat="1" applyFont="1" applyFill="1" applyBorder="1" applyAlignment="1">
      <alignment horizontal="center" vertical="top"/>
    </xf>
    <xf numFmtId="205" fontId="33" fillId="9" borderId="127" xfId="0" applyNumberFormat="1" applyFont="1" applyFill="1" applyBorder="1" applyAlignment="1">
      <alignment horizontal="center" vertical="top"/>
    </xf>
    <xf numFmtId="0" fontId="58" fillId="9" borderId="45" xfId="0" applyNumberFormat="1" applyFont="1" applyFill="1" applyBorder="1" applyAlignment="1">
      <alignment horizontal="center" vertical="top"/>
    </xf>
    <xf numFmtId="0" fontId="33" fillId="9" borderId="37" xfId="0" applyFont="1" applyFill="1" applyBorder="1" applyAlignment="1">
      <alignment horizontal="center" vertical="top"/>
    </xf>
    <xf numFmtId="2" fontId="33" fillId="9" borderId="37" xfId="0" applyNumberFormat="1" applyFont="1" applyFill="1" applyBorder="1" applyAlignment="1">
      <alignment vertical="top"/>
    </xf>
    <xf numFmtId="188" fontId="33" fillId="9" borderId="37" xfId="0" applyNumberFormat="1" applyFont="1" applyFill="1" applyBorder="1" applyAlignment="1">
      <alignment horizontal="center" vertical="top"/>
    </xf>
    <xf numFmtId="43" fontId="33" fillId="9" borderId="37" xfId="0" applyNumberFormat="1" applyFont="1" applyFill="1" applyBorder="1" applyAlignment="1">
      <alignment vertical="top"/>
    </xf>
    <xf numFmtId="205" fontId="33" fillId="9" borderId="48" xfId="0" applyNumberFormat="1" applyFont="1" applyFill="1" applyBorder="1" applyAlignment="1">
      <alignment horizontal="center" vertical="top"/>
    </xf>
    <xf numFmtId="0" fontId="33" fillId="9" borderId="0" xfId="0" applyFont="1" applyFill="1" applyBorder="1" applyAlignment="1" applyProtection="1"/>
    <xf numFmtId="0" fontId="142" fillId="0" borderId="0" xfId="0" applyFont="1" applyBorder="1" applyAlignment="1">
      <alignment horizontal="right"/>
    </xf>
    <xf numFmtId="0" fontId="33" fillId="9" borderId="0" xfId="0" applyFont="1" applyFill="1" applyBorder="1" applyAlignment="1" applyProtection="1">
      <alignment vertical="center"/>
    </xf>
    <xf numFmtId="0" fontId="33" fillId="9" borderId="0" xfId="0" applyFont="1" applyFill="1" applyBorder="1" applyAlignment="1">
      <alignment horizontal="center" vertical="top"/>
    </xf>
    <xf numFmtId="0" fontId="33" fillId="9" borderId="0" xfId="0" applyFont="1" applyFill="1" applyBorder="1" applyAlignment="1">
      <alignment vertical="top"/>
    </xf>
    <xf numFmtId="0" fontId="142" fillId="0" borderId="0" xfId="0" applyFont="1" applyBorder="1" applyAlignment="1">
      <alignment horizontal="center"/>
    </xf>
    <xf numFmtId="0" fontId="142" fillId="0" borderId="0" xfId="0" applyFont="1" applyBorder="1"/>
    <xf numFmtId="43" fontId="33" fillId="9" borderId="0" xfId="0" applyNumberFormat="1" applyFont="1" applyFill="1" applyBorder="1" applyAlignment="1">
      <alignment vertical="top"/>
    </xf>
    <xf numFmtId="43" fontId="58" fillId="9" borderId="0" xfId="0" applyNumberFormat="1" applyFont="1" applyFill="1" applyBorder="1" applyAlignment="1">
      <alignment horizontal="right" vertical="top"/>
    </xf>
    <xf numFmtId="43" fontId="58" fillId="0" borderId="0" xfId="1" applyFont="1" applyFill="1" applyBorder="1" applyAlignment="1">
      <alignment horizontal="center" vertical="center"/>
    </xf>
    <xf numFmtId="0" fontId="143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Fill="1" applyAlignment="1">
      <alignment horizontal="right" vertical="center"/>
    </xf>
    <xf numFmtId="0" fontId="33" fillId="0" borderId="0" xfId="0" applyFont="1"/>
    <xf numFmtId="0" fontId="142" fillId="0" borderId="0" xfId="0" applyFont="1" applyAlignment="1">
      <alignment vertical="center"/>
    </xf>
    <xf numFmtId="43" fontId="33" fillId="0" borderId="0" xfId="0" applyNumberFormat="1" applyFont="1"/>
    <xf numFmtId="192" fontId="144" fillId="0" borderId="9" xfId="0" applyNumberFormat="1" applyFont="1" applyFill="1" applyBorder="1" applyAlignment="1">
      <alignment horizontal="center"/>
    </xf>
    <xf numFmtId="188" fontId="144" fillId="0" borderId="19" xfId="0" applyNumberFormat="1" applyFont="1" applyFill="1" applyBorder="1" applyAlignment="1">
      <alignment horizontal="center"/>
    </xf>
    <xf numFmtId="192" fontId="144" fillId="0" borderId="2" xfId="0" applyNumberFormat="1" applyFont="1" applyFill="1" applyBorder="1" applyAlignment="1">
      <alignment horizontal="center"/>
    </xf>
    <xf numFmtId="188" fontId="144" fillId="0" borderId="24" xfId="0" applyNumberFormat="1" applyFont="1" applyFill="1" applyBorder="1" applyAlignment="1">
      <alignment horizontal="center"/>
    </xf>
    <xf numFmtId="39" fontId="7" fillId="0" borderId="130" xfId="2" applyFont="1" applyBorder="1" applyAlignment="1">
      <alignment horizontal="center"/>
    </xf>
    <xf numFmtId="195" fontId="7" fillId="0" borderId="130" xfId="2" applyNumberFormat="1" applyFont="1" applyFill="1" applyBorder="1" applyAlignment="1">
      <alignment horizontal="center"/>
    </xf>
    <xf numFmtId="188" fontId="7" fillId="0" borderId="130" xfId="2" applyNumberFormat="1" applyFont="1" applyBorder="1" applyAlignment="1">
      <alignment horizontal="center"/>
    </xf>
    <xf numFmtId="192" fontId="144" fillId="0" borderId="18" xfId="0" applyNumberFormat="1" applyFont="1" applyFill="1" applyBorder="1" applyAlignment="1">
      <alignment horizontal="center"/>
    </xf>
    <xf numFmtId="188" fontId="144" fillId="0" borderId="23" xfId="0" applyNumberFormat="1" applyFont="1" applyFill="1" applyBorder="1" applyAlignment="1">
      <alignment horizontal="center"/>
    </xf>
    <xf numFmtId="2" fontId="0" fillId="0" borderId="16" xfId="0" applyNumberFormat="1" applyBorder="1"/>
    <xf numFmtId="0" fontId="145" fillId="0" borderId="0" xfId="0" applyFont="1" applyAlignment="1">
      <alignment horizontal="center"/>
    </xf>
    <xf numFmtId="0" fontId="145" fillId="0" borderId="0" xfId="0" applyFont="1"/>
    <xf numFmtId="43" fontId="145" fillId="0" borderId="0" xfId="0" applyNumberFormat="1" applyFont="1"/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</xf>
    <xf numFmtId="0" fontId="21" fillId="0" borderId="0" xfId="0" applyFont="1" applyBorder="1" applyAlignment="1" applyProtection="1">
      <alignment horizontal="left"/>
    </xf>
    <xf numFmtId="0" fontId="25" fillId="0" borderId="0" xfId="0" applyFont="1" applyAlignment="1" applyProtection="1">
      <alignment horizontal="center"/>
    </xf>
    <xf numFmtId="0" fontId="21" fillId="0" borderId="0" xfId="0" applyFont="1" applyBorder="1" applyAlignment="1" applyProtection="1">
      <alignment horizontal="center"/>
    </xf>
    <xf numFmtId="0" fontId="147" fillId="0" borderId="0" xfId="0" applyFont="1"/>
    <xf numFmtId="0" fontId="21" fillId="9" borderId="0" xfId="0" applyFont="1" applyFill="1" applyBorder="1" applyAlignment="1" applyProtection="1">
      <alignment horizontal="left" vertical="top"/>
    </xf>
    <xf numFmtId="0" fontId="21" fillId="0" borderId="0" xfId="0" applyFont="1" applyFill="1" applyAlignment="1" applyProtection="1"/>
    <xf numFmtId="0" fontId="21" fillId="0" borderId="94" xfId="0" applyFont="1" applyBorder="1" applyAlignment="1">
      <alignment horizontal="left" vertical="top"/>
    </xf>
    <xf numFmtId="0" fontId="21" fillId="0" borderId="90" xfId="0" applyFont="1" applyBorder="1" applyAlignment="1">
      <alignment horizontal="left" vertical="top"/>
    </xf>
    <xf numFmtId="0" fontId="147" fillId="0" borderId="9" xfId="0" applyFont="1" applyBorder="1" applyAlignment="1">
      <alignment horizontal="center"/>
    </xf>
    <xf numFmtId="0" fontId="147" fillId="0" borderId="9" xfId="0" applyFont="1" applyBorder="1" applyAlignment="1">
      <alignment horizontal="center" wrapText="1"/>
    </xf>
    <xf numFmtId="0" fontId="147" fillId="0" borderId="19" xfId="0" applyFont="1" applyBorder="1" applyAlignment="1">
      <alignment horizontal="center"/>
    </xf>
    <xf numFmtId="0" fontId="147" fillId="0" borderId="0" xfId="0" applyFont="1" applyAlignment="1">
      <alignment horizontal="center"/>
    </xf>
    <xf numFmtId="0" fontId="147" fillId="0" borderId="15" xfId="0" applyFont="1" applyBorder="1" applyAlignment="1">
      <alignment horizontal="center"/>
    </xf>
    <xf numFmtId="0" fontId="147" fillId="0" borderId="44" xfId="0" applyFont="1" applyBorder="1" applyAlignment="1">
      <alignment horizontal="center"/>
    </xf>
    <xf numFmtId="0" fontId="147" fillId="0" borderId="82" xfId="0" applyFont="1" applyBorder="1" applyAlignment="1">
      <alignment horizontal="center"/>
    </xf>
    <xf numFmtId="0" fontId="147" fillId="0" borderId="86" xfId="0" applyFont="1" applyBorder="1"/>
    <xf numFmtId="0" fontId="147" fillId="0" borderId="86" xfId="0" applyFont="1" applyBorder="1" applyAlignment="1">
      <alignment horizontal="center"/>
    </xf>
    <xf numFmtId="0" fontId="147" fillId="0" borderId="126" xfId="0" applyFont="1" applyBorder="1"/>
    <xf numFmtId="0" fontId="147" fillId="0" borderId="95" xfId="0" applyFont="1" applyBorder="1" applyAlignment="1">
      <alignment horizontal="center"/>
    </xf>
    <xf numFmtId="0" fontId="147" fillId="0" borderId="94" xfId="0" applyFont="1" applyBorder="1"/>
    <xf numFmtId="0" fontId="147" fillId="0" borderId="94" xfId="0" applyFont="1" applyBorder="1" applyAlignment="1">
      <alignment horizontal="center"/>
    </xf>
    <xf numFmtId="0" fontId="147" fillId="0" borderId="104" xfId="0" applyFont="1" applyBorder="1" applyAlignment="1">
      <alignment horizontal="center"/>
    </xf>
    <xf numFmtId="0" fontId="147" fillId="0" borderId="107" xfId="0" applyFont="1" applyBorder="1"/>
    <xf numFmtId="0" fontId="147" fillId="0" borderId="107" xfId="0" applyFont="1" applyBorder="1" applyAlignment="1">
      <alignment horizontal="center"/>
    </xf>
    <xf numFmtId="0" fontId="147" fillId="0" borderId="135" xfId="0" applyFont="1" applyBorder="1"/>
    <xf numFmtId="0" fontId="142" fillId="0" borderId="126" xfId="0" applyFont="1" applyBorder="1"/>
    <xf numFmtId="43" fontId="21" fillId="0" borderId="0" xfId="1" applyFont="1" applyFill="1" applyAlignment="1">
      <alignment horizontal="left"/>
    </xf>
    <xf numFmtId="4" fontId="21" fillId="0" borderId="0" xfId="3" applyFont="1" applyFill="1" applyProtection="1"/>
    <xf numFmtId="0" fontId="25" fillId="5" borderId="0" xfId="0" applyFont="1" applyFill="1" applyProtection="1"/>
    <xf numFmtId="0" fontId="148" fillId="8" borderId="0" xfId="0" applyFont="1" applyFill="1" applyAlignment="1" applyProtection="1">
      <alignment horizontal="center"/>
    </xf>
    <xf numFmtId="0" fontId="25" fillId="0" borderId="0" xfId="0" applyFont="1" applyAlignment="1" applyProtection="1">
      <alignment vertical="center"/>
    </xf>
    <xf numFmtId="0" fontId="21" fillId="0" borderId="0" xfId="0" applyFont="1" applyFill="1" applyAlignment="1" applyProtection="1">
      <alignment vertical="center"/>
      <protection locked="0"/>
    </xf>
    <xf numFmtId="0" fontId="21" fillId="0" borderId="0" xfId="0" applyFont="1" applyFill="1" applyAlignment="1" applyProtection="1">
      <alignment vertical="center"/>
    </xf>
    <xf numFmtId="43" fontId="21" fillId="10" borderId="0" xfId="1" applyFont="1" applyFill="1" applyAlignment="1">
      <alignment horizontal="left"/>
    </xf>
    <xf numFmtId="0" fontId="21" fillId="10" borderId="0" xfId="0" applyFont="1" applyFill="1" applyAlignment="1" applyProtection="1">
      <alignment vertical="center"/>
    </xf>
    <xf numFmtId="0" fontId="21" fillId="10" borderId="0" xfId="0" applyFont="1" applyFill="1" applyAlignment="1" applyProtection="1">
      <alignment horizontal="center" vertical="center"/>
    </xf>
    <xf numFmtId="0" fontId="148" fillId="7" borderId="0" xfId="0" applyFont="1" applyFill="1" applyBorder="1" applyProtection="1"/>
    <xf numFmtId="0" fontId="25" fillId="7" borderId="0" xfId="0" applyFont="1" applyFill="1" applyBorder="1" applyProtection="1"/>
    <xf numFmtId="0" fontId="25" fillId="7" borderId="0" xfId="0" applyFont="1" applyFill="1" applyBorder="1" applyAlignment="1" applyProtection="1">
      <alignment horizontal="center"/>
    </xf>
    <xf numFmtId="0" fontId="25" fillId="0" borderId="0" xfId="0" applyFont="1" applyFill="1" applyBorder="1" applyProtection="1"/>
    <xf numFmtId="0" fontId="21" fillId="10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left" vertical="center"/>
    </xf>
    <xf numFmtId="39" fontId="21" fillId="0" borderId="0" xfId="2" applyFont="1" applyAlignment="1" applyProtection="1">
      <alignment horizontal="left"/>
    </xf>
    <xf numFmtId="189" fontId="21" fillId="10" borderId="0" xfId="0" applyNumberFormat="1" applyFont="1" applyFill="1" applyBorder="1" applyAlignment="1" applyProtection="1">
      <alignment horizontal="center"/>
      <protection locked="0"/>
    </xf>
    <xf numFmtId="189" fontId="21" fillId="0" borderId="0" xfId="2" applyNumberFormat="1" applyFont="1" applyAlignment="1" applyProtection="1">
      <alignment horizontal="left"/>
    </xf>
    <xf numFmtId="189" fontId="21" fillId="0" borderId="0" xfId="2" applyNumberFormat="1" applyFont="1" applyAlignment="1" applyProtection="1">
      <alignment horizontal="center"/>
    </xf>
    <xf numFmtId="0" fontId="21" fillId="10" borderId="0" xfId="0" applyFont="1" applyFill="1" applyAlignment="1" applyProtection="1">
      <alignment vertical="center"/>
      <protection locked="0"/>
    </xf>
    <xf numFmtId="0" fontId="21" fillId="10" borderId="0" xfId="0" applyFont="1" applyFill="1" applyProtection="1"/>
    <xf numFmtId="0" fontId="25" fillId="0" borderId="0" xfId="0" applyFont="1" applyAlignment="1" applyProtection="1">
      <alignment horizontal="left" vertical="center"/>
    </xf>
    <xf numFmtId="189" fontId="21" fillId="10" borderId="0" xfId="0" applyNumberFormat="1" applyFont="1" applyFill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Fill="1" applyAlignment="1" applyProtection="1">
      <alignment horizontal="left" vertical="center"/>
    </xf>
    <xf numFmtId="189" fontId="21" fillId="0" borderId="0" xfId="0" applyNumberFormat="1" applyFont="1" applyFill="1" applyAlignment="1" applyProtection="1">
      <alignment horizontal="center" vertical="center"/>
      <protection locked="0"/>
    </xf>
    <xf numFmtId="189" fontId="39" fillId="0" borderId="0" xfId="0" applyNumberFormat="1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/>
    </xf>
    <xf numFmtId="43" fontId="21" fillId="10" borderId="0" xfId="1" applyFont="1" applyFill="1" applyAlignment="1">
      <alignment vertical="center"/>
    </xf>
    <xf numFmtId="0" fontId="21" fillId="10" borderId="0" xfId="0" applyFont="1" applyFill="1" applyAlignment="1" applyProtection="1">
      <alignment horizontal="center" vertical="center"/>
      <protection locked="0"/>
    </xf>
    <xf numFmtId="39" fontId="21" fillId="0" borderId="0" xfId="0" applyNumberFormat="1" applyFont="1" applyAlignment="1" applyProtection="1">
      <alignment horizontal="center" vertical="center"/>
    </xf>
    <xf numFmtId="4" fontId="21" fillId="0" borderId="0" xfId="3" applyFont="1" applyAlignment="1" applyProtection="1">
      <alignment horizontal="left" vertical="center"/>
    </xf>
    <xf numFmtId="39" fontId="21" fillId="10" borderId="0" xfId="0" applyNumberFormat="1" applyFont="1" applyFill="1" applyAlignment="1" applyProtection="1">
      <alignment horizontal="center"/>
      <protection locked="0"/>
    </xf>
    <xf numFmtId="37" fontId="21" fillId="0" borderId="0" xfId="0" applyNumberFormat="1" applyFont="1" applyFill="1" applyBorder="1" applyAlignment="1" applyProtection="1">
      <alignment horizontal="center"/>
    </xf>
    <xf numFmtId="39" fontId="21" fillId="0" borderId="0" xfId="0" applyNumberFormat="1" applyFont="1" applyBorder="1" applyProtection="1"/>
    <xf numFmtId="37" fontId="21" fillId="10" borderId="0" xfId="0" applyNumberFormat="1" applyFont="1" applyFill="1" applyBorder="1" applyAlignment="1" applyProtection="1">
      <alignment horizontal="center"/>
      <protection locked="0"/>
    </xf>
    <xf numFmtId="37" fontId="21" fillId="3" borderId="0" xfId="0" applyNumberFormat="1" applyFont="1" applyFill="1" applyBorder="1" applyAlignment="1" applyProtection="1">
      <alignment horizontal="center"/>
    </xf>
    <xf numFmtId="2" fontId="21" fillId="0" borderId="0" xfId="0" applyNumberFormat="1" applyFont="1" applyBorder="1" applyAlignment="1" applyProtection="1">
      <alignment horizontal="left"/>
    </xf>
    <xf numFmtId="4" fontId="22" fillId="0" borderId="0" xfId="0" quotePrefix="1" applyNumberFormat="1" applyFont="1" applyFill="1" applyAlignment="1" applyProtection="1">
      <alignment vertical="center"/>
    </xf>
    <xf numFmtId="39" fontId="21" fillId="0" borderId="0" xfId="0" applyNumberFormat="1" applyFont="1" applyBorder="1" applyAlignment="1" applyProtection="1">
      <alignment horizontal="center"/>
    </xf>
    <xf numFmtId="2" fontId="25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/>
    <xf numFmtId="43" fontId="21" fillId="0" borderId="0" xfId="0" applyNumberFormat="1" applyFont="1" applyFill="1" applyAlignment="1" applyProtection="1">
      <alignment vertical="center"/>
      <protection locked="0"/>
    </xf>
    <xf numFmtId="3" fontId="21" fillId="10" borderId="0" xfId="0" applyNumberFormat="1" applyFont="1" applyFill="1" applyAlignment="1" applyProtection="1">
      <alignment horizontal="center" vertical="center"/>
      <protection locked="0"/>
    </xf>
    <xf numFmtId="37" fontId="21" fillId="0" borderId="0" xfId="0" applyNumberFormat="1" applyFont="1" applyFill="1" applyBorder="1" applyAlignment="1" applyProtection="1">
      <alignment horizontal="center"/>
      <protection locked="0"/>
    </xf>
    <xf numFmtId="43" fontId="21" fillId="0" borderId="0" xfId="0" quotePrefix="1" applyNumberFormat="1" applyFont="1" applyFill="1" applyAlignment="1" applyProtection="1">
      <alignment vertical="center"/>
      <protection locked="0"/>
    </xf>
    <xf numFmtId="0" fontId="21" fillId="0" borderId="0" xfId="0" applyFont="1" applyFill="1" applyAlignment="1" applyProtection="1">
      <alignment horizontal="left" vertical="center"/>
    </xf>
    <xf numFmtId="1" fontId="21" fillId="10" borderId="0" xfId="0" applyNumberFormat="1" applyFont="1" applyFill="1" applyAlignment="1" applyProtection="1">
      <alignment horizontal="center" vertical="center"/>
      <protection locked="0"/>
    </xf>
    <xf numFmtId="199" fontId="21" fillId="0" borderId="0" xfId="1" applyNumberFormat="1" applyFont="1" applyAlignment="1" applyProtection="1">
      <alignment vertical="center"/>
    </xf>
    <xf numFmtId="0" fontId="25" fillId="0" borderId="0" xfId="0" applyFont="1" applyFill="1" applyProtection="1"/>
    <xf numFmtId="0" fontId="141" fillId="10" borderId="0" xfId="0" applyFont="1" applyFill="1" applyProtection="1"/>
    <xf numFmtId="0" fontId="147" fillId="10" borderId="0" xfId="0" applyFont="1" applyFill="1" applyProtection="1"/>
    <xf numFmtId="37" fontId="147" fillId="10" borderId="0" xfId="0" applyNumberFormat="1" applyFont="1" applyFill="1" applyBorder="1" applyAlignment="1" applyProtection="1">
      <alignment horizontal="center"/>
    </xf>
    <xf numFmtId="0" fontId="147" fillId="10" borderId="0" xfId="0" applyFont="1" applyFill="1" applyBorder="1" applyAlignment="1" applyProtection="1">
      <alignment horizontal="center"/>
    </xf>
    <xf numFmtId="0" fontId="147" fillId="0" borderId="0" xfId="0" applyFont="1" applyProtection="1"/>
    <xf numFmtId="0" fontId="147" fillId="0" borderId="0" xfId="0" applyFont="1" applyAlignment="1" applyProtection="1">
      <alignment vertical="center"/>
    </xf>
    <xf numFmtId="0" fontId="147" fillId="0" borderId="0" xfId="0" applyFont="1" applyBorder="1" applyAlignment="1" applyProtection="1">
      <alignment horizontal="center"/>
    </xf>
    <xf numFmtId="0" fontId="147" fillId="0" borderId="0" xfId="0" applyFont="1" applyBorder="1" applyProtection="1"/>
    <xf numFmtId="39" fontId="150" fillId="10" borderId="0" xfId="0" applyNumberFormat="1" applyFont="1" applyFill="1" applyAlignment="1" applyProtection="1">
      <alignment horizontal="center"/>
    </xf>
    <xf numFmtId="0" fontId="147" fillId="0" borderId="0" xfId="0" applyFont="1" applyAlignment="1" applyProtection="1">
      <alignment horizontal="center"/>
    </xf>
    <xf numFmtId="1" fontId="21" fillId="10" borderId="0" xfId="0" applyNumberFormat="1" applyFont="1" applyFill="1" applyAlignment="1" applyProtection="1">
      <alignment horizontal="center"/>
    </xf>
    <xf numFmtId="4" fontId="147" fillId="10" borderId="0" xfId="0" applyNumberFormat="1" applyFont="1" applyFill="1" applyProtection="1"/>
    <xf numFmtId="39" fontId="147" fillId="10" borderId="0" xfId="0" applyNumberFormat="1" applyFont="1" applyFill="1" applyAlignment="1" applyProtection="1">
      <alignment horizontal="center"/>
    </xf>
    <xf numFmtId="0" fontId="147" fillId="0" borderId="0" xfId="0" applyFont="1" applyAlignment="1" applyProtection="1">
      <alignment horizontal="left"/>
    </xf>
    <xf numFmtId="4" fontId="22" fillId="0" borderId="0" xfId="0" applyNumberFormat="1" applyFont="1" applyFill="1" applyProtection="1"/>
    <xf numFmtId="0" fontId="39" fillId="0" borderId="0" xfId="0" applyFont="1" applyProtection="1"/>
    <xf numFmtId="37" fontId="25" fillId="0" borderId="0" xfId="0" applyNumberFormat="1" applyFont="1" applyAlignment="1" applyProtection="1">
      <alignment horizontal="left" vertical="center"/>
    </xf>
    <xf numFmtId="39" fontId="25" fillId="0" borderId="0" xfId="0" applyNumberFormat="1" applyFont="1" applyAlignment="1" applyProtection="1">
      <alignment horizontal="left" vertical="center"/>
    </xf>
    <xf numFmtId="39" fontId="21" fillId="0" borderId="0" xfId="0" applyNumberFormat="1" applyFont="1" applyAlignment="1" applyProtection="1">
      <alignment horizontal="left" vertical="center"/>
    </xf>
    <xf numFmtId="39" fontId="21" fillId="0" borderId="0" xfId="0" applyNumberFormat="1" applyFont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147" fillId="0" borderId="0" xfId="0" applyFont="1" applyBorder="1" applyAlignment="1" applyProtection="1">
      <alignment vertical="center"/>
    </xf>
    <xf numFmtId="4" fontId="21" fillId="10" borderId="0" xfId="0" applyNumberFormat="1" applyFont="1" applyFill="1" applyProtection="1"/>
    <xf numFmtId="4" fontId="22" fillId="0" borderId="0" xfId="0" applyNumberFormat="1" applyFont="1" applyAlignment="1" applyProtection="1">
      <alignment vertical="center"/>
    </xf>
    <xf numFmtId="39" fontId="21" fillId="0" borderId="0" xfId="0" applyNumberFormat="1" applyFont="1" applyAlignment="1" applyProtection="1">
      <alignment horizontal="right" vertical="center"/>
    </xf>
    <xf numFmtId="2" fontId="21" fillId="0" borderId="0" xfId="0" quotePrefix="1" applyNumberFormat="1" applyFont="1" applyAlignment="1" applyProtection="1">
      <alignment vertical="center"/>
    </xf>
    <xf numFmtId="0" fontId="147" fillId="9" borderId="0" xfId="0" applyFont="1" applyFill="1" applyBorder="1" applyAlignment="1" applyProtection="1">
      <alignment vertical="center"/>
    </xf>
    <xf numFmtId="39" fontId="150" fillId="10" borderId="0" xfId="0" applyNumberFormat="1" applyFont="1" applyFill="1" applyAlignment="1" applyProtection="1">
      <alignment horizontal="center" vertical="center"/>
    </xf>
    <xf numFmtId="0" fontId="147" fillId="0" borderId="0" xfId="0" applyFont="1" applyAlignment="1" applyProtection="1">
      <alignment horizontal="left" vertical="center"/>
    </xf>
    <xf numFmtId="0" fontId="147" fillId="0" borderId="0" xfId="0" applyFont="1" applyAlignment="1" applyProtection="1">
      <alignment horizontal="center" vertical="center"/>
    </xf>
    <xf numFmtId="1" fontId="21" fillId="10" borderId="0" xfId="0" applyNumberFormat="1" applyFont="1" applyFill="1" applyAlignment="1" applyProtection="1">
      <alignment horizontal="center" vertical="center"/>
    </xf>
    <xf numFmtId="4" fontId="147" fillId="10" borderId="0" xfId="0" applyNumberFormat="1" applyFont="1" applyFill="1" applyAlignment="1" applyProtection="1">
      <alignment vertical="center"/>
    </xf>
    <xf numFmtId="0" fontId="147" fillId="10" borderId="0" xfId="0" applyFont="1" applyFill="1" applyAlignment="1" applyProtection="1">
      <alignment horizontal="center" vertical="center"/>
    </xf>
    <xf numFmtId="4" fontId="22" fillId="0" borderId="0" xfId="0" applyNumberFormat="1" applyFont="1" applyFill="1" applyAlignment="1" applyProtection="1">
      <alignment vertical="center"/>
    </xf>
    <xf numFmtId="0" fontId="147" fillId="10" borderId="0" xfId="0" applyFont="1" applyFill="1" applyAlignment="1" applyProtection="1">
      <alignment horizontal="center"/>
    </xf>
    <xf numFmtId="2" fontId="147" fillId="10" borderId="0" xfId="0" applyNumberFormat="1" applyFont="1" applyFill="1" applyAlignment="1" applyProtection="1">
      <alignment horizontal="center" vertical="center"/>
    </xf>
    <xf numFmtId="0" fontId="39" fillId="0" borderId="0" xfId="0" applyFont="1" applyAlignment="1" applyProtection="1">
      <alignment vertical="center"/>
    </xf>
    <xf numFmtId="0" fontId="147" fillId="0" borderId="0" xfId="0" applyFont="1" applyAlignment="1" applyProtection="1">
      <alignment horizontal="left" vertical="center" indent="5"/>
    </xf>
    <xf numFmtId="0" fontId="22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4" fontId="150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right" vertical="center"/>
    </xf>
    <xf numFmtId="39" fontId="150" fillId="0" borderId="0" xfId="0" applyNumberFormat="1" applyFont="1" applyFill="1" applyAlignment="1" applyProtection="1">
      <alignment horizontal="center" vertical="center"/>
    </xf>
    <xf numFmtId="0" fontId="39" fillId="0" borderId="0" xfId="0" applyFont="1" applyBorder="1" applyAlignment="1" applyProtection="1">
      <alignment vertical="center"/>
    </xf>
    <xf numFmtId="0" fontId="25" fillId="0" borderId="0" xfId="0" applyFont="1"/>
    <xf numFmtId="2" fontId="39" fillId="0" borderId="0" xfId="0" applyNumberFormat="1" applyFont="1" applyAlignment="1" applyProtection="1">
      <alignment horizontal="center"/>
    </xf>
    <xf numFmtId="0" fontId="25" fillId="0" borderId="0" xfId="0" applyFont="1" applyAlignment="1" applyProtection="1">
      <alignment horizontal="left"/>
    </xf>
    <xf numFmtId="4" fontId="22" fillId="10" borderId="0" xfId="0" applyNumberFormat="1" applyFont="1" applyFill="1" applyAlignment="1" applyProtection="1">
      <alignment horizontal="center" vertical="center"/>
    </xf>
    <xf numFmtId="4" fontId="147" fillId="0" borderId="0" xfId="0" applyNumberFormat="1" applyFont="1" applyFill="1" applyBorder="1" applyAlignment="1" applyProtection="1">
      <alignment horizontal="left" vertical="center"/>
    </xf>
    <xf numFmtId="0" fontId="39" fillId="0" borderId="0" xfId="0" applyFont="1" applyBorder="1" applyAlignment="1" applyProtection="1">
      <alignment horizontal="center" vertical="center"/>
    </xf>
    <xf numFmtId="4" fontId="22" fillId="0" borderId="0" xfId="0" applyNumberFormat="1" applyFont="1" applyAlignment="1" applyProtection="1">
      <alignment horizontal="center" vertical="center"/>
    </xf>
    <xf numFmtId="2" fontId="25" fillId="0" borderId="0" xfId="0" applyNumberFormat="1" applyFont="1" applyAlignment="1" applyProtection="1">
      <alignment horizontal="center" vertical="center"/>
    </xf>
    <xf numFmtId="0" fontId="21" fillId="0" borderId="0" xfId="0" applyFont="1" applyBorder="1" applyAlignment="1" applyProtection="1"/>
    <xf numFmtId="0" fontId="147" fillId="0" borderId="0" xfId="0" applyFont="1" applyFill="1" applyAlignment="1" applyProtection="1">
      <alignment vertical="center"/>
    </xf>
    <xf numFmtId="2" fontId="22" fillId="0" borderId="0" xfId="0" quotePrefix="1" applyNumberFormat="1" applyFont="1" applyAlignment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13" borderId="0" xfId="0" applyFont="1" applyFill="1" applyAlignment="1" applyProtection="1">
      <alignment vertical="center"/>
    </xf>
    <xf numFmtId="0" fontId="21" fillId="13" borderId="0" xfId="0" applyFont="1" applyFill="1" applyAlignment="1" applyProtection="1">
      <alignment vertical="center"/>
    </xf>
    <xf numFmtId="4" fontId="39" fillId="13" borderId="0" xfId="0" applyNumberFormat="1" applyFont="1" applyFill="1" applyBorder="1" applyAlignment="1" applyProtection="1">
      <alignment horizontal="center" vertical="center"/>
    </xf>
    <xf numFmtId="0" fontId="25" fillId="13" borderId="0" xfId="0" applyFont="1" applyFill="1" applyAlignment="1" applyProtection="1">
      <alignment horizontal="center" vertical="center"/>
    </xf>
    <xf numFmtId="0" fontId="139" fillId="10" borderId="0" xfId="0" applyFont="1" applyFill="1" applyProtection="1"/>
    <xf numFmtId="0" fontId="25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1" fillId="0" borderId="0" xfId="0" applyFont="1" applyFill="1" applyAlignment="1" applyProtection="1">
      <alignment horizontal="right" vertical="center"/>
    </xf>
    <xf numFmtId="208" fontId="21" fillId="0" borderId="0" xfId="103" applyNumberFormat="1" applyFont="1" applyAlignment="1" applyProtection="1">
      <alignment horizontal="right" vertical="center"/>
      <protection hidden="1"/>
    </xf>
    <xf numFmtId="187" fontId="21" fillId="0" borderId="0" xfId="103" applyFont="1" applyAlignment="1" applyProtection="1">
      <alignment horizontal="left" vertical="center"/>
      <protection hidden="1"/>
    </xf>
    <xf numFmtId="37" fontId="21" fillId="0" borderId="0" xfId="0" applyNumberFormat="1" applyFont="1" applyAlignment="1" applyProtection="1">
      <alignment vertical="center"/>
    </xf>
    <xf numFmtId="37" fontId="21" fillId="0" borderId="0" xfId="0" applyNumberFormat="1" applyFont="1" applyAlignment="1" applyProtection="1">
      <alignment horizontal="center" vertical="center"/>
    </xf>
    <xf numFmtId="187" fontId="21" fillId="0" borderId="0" xfId="103" applyFont="1" applyAlignment="1" applyProtection="1">
      <alignment horizontal="right" vertical="center"/>
      <protection hidden="1"/>
    </xf>
    <xf numFmtId="208" fontId="21" fillId="0" borderId="0" xfId="0" applyNumberFormat="1" applyFont="1" applyAlignment="1" applyProtection="1">
      <alignment horizontal="right" vertical="center"/>
      <protection hidden="1"/>
    </xf>
    <xf numFmtId="187" fontId="21" fillId="0" borderId="0" xfId="103" quotePrefix="1" applyFont="1" applyAlignment="1" applyProtection="1">
      <alignment horizontal="left" vertical="center"/>
      <protection hidden="1"/>
    </xf>
    <xf numFmtId="2" fontId="21" fillId="10" borderId="0" xfId="0" applyNumberFormat="1" applyFont="1" applyFill="1" applyAlignment="1" applyProtection="1">
      <alignment horizontal="center" vertical="center"/>
      <protection locked="0"/>
    </xf>
    <xf numFmtId="0" fontId="21" fillId="0" borderId="0" xfId="0" applyFont="1" applyAlignment="1">
      <alignment horizontal="right" vertical="center"/>
    </xf>
    <xf numFmtId="208" fontId="21" fillId="0" borderId="0" xfId="103" applyNumberFormat="1" applyFont="1" applyAlignment="1">
      <alignment vertical="center"/>
    </xf>
    <xf numFmtId="4" fontId="21" fillId="0" borderId="0" xfId="0" applyNumberFormat="1" applyFont="1" applyAlignment="1" applyProtection="1">
      <alignment vertical="center"/>
    </xf>
    <xf numFmtId="2" fontId="21" fillId="0" borderId="0" xfId="0" applyNumberFormat="1" applyFont="1" applyAlignment="1" applyProtection="1">
      <alignment horizontal="center" vertical="center"/>
    </xf>
    <xf numFmtId="0" fontId="21" fillId="0" borderId="0" xfId="0" quotePrefix="1" applyFont="1" applyAlignment="1" applyProtection="1">
      <alignment horizontal="left" vertical="center"/>
      <protection hidden="1"/>
    </xf>
    <xf numFmtId="208" fontId="140" fillId="0" borderId="0" xfId="103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vertical="center"/>
    </xf>
    <xf numFmtId="39" fontId="21" fillId="10" borderId="0" xfId="0" applyNumberFormat="1" applyFont="1" applyFill="1" applyAlignment="1" applyProtection="1">
      <alignment vertical="center"/>
    </xf>
    <xf numFmtId="4" fontId="21" fillId="0" borderId="0" xfId="0" quotePrefix="1" applyNumberFormat="1" applyFont="1" applyAlignment="1" applyProtection="1">
      <alignment vertical="center"/>
    </xf>
    <xf numFmtId="193" fontId="21" fillId="10" borderId="0" xfId="0" applyNumberFormat="1" applyFont="1" applyFill="1" applyAlignment="1" applyProtection="1">
      <alignment horizontal="center" vertical="center"/>
    </xf>
    <xf numFmtId="4" fontId="21" fillId="12" borderId="0" xfId="0" quotePrefix="1" applyNumberFormat="1" applyFont="1" applyFill="1" applyAlignment="1" applyProtection="1">
      <alignment vertical="center"/>
    </xf>
    <xf numFmtId="193" fontId="21" fillId="0" borderId="0" xfId="0" applyNumberFormat="1" applyFont="1" applyFill="1" applyAlignment="1" applyProtection="1">
      <alignment horizontal="center" vertical="center"/>
    </xf>
    <xf numFmtId="4" fontId="21" fillId="0" borderId="0" xfId="0" quotePrefix="1" applyNumberFormat="1" applyFont="1" applyFill="1" applyAlignment="1" applyProtection="1">
      <alignment vertical="center"/>
    </xf>
    <xf numFmtId="4" fontId="21" fillId="62" borderId="0" xfId="0" quotePrefix="1" applyNumberFormat="1" applyFont="1" applyFill="1" applyAlignment="1" applyProtection="1">
      <alignment vertical="center"/>
    </xf>
    <xf numFmtId="4" fontId="21" fillId="10" borderId="0" xfId="0" quotePrefix="1" applyNumberFormat="1" applyFont="1" applyFill="1" applyAlignment="1" applyProtection="1">
      <alignment vertical="center"/>
    </xf>
    <xf numFmtId="37" fontId="21" fillId="0" borderId="0" xfId="0" applyNumberFormat="1" applyFont="1" applyAlignment="1" applyProtection="1">
      <alignment horizontal="left" vertical="center"/>
    </xf>
    <xf numFmtId="0" fontId="21" fillId="0" borderId="0" xfId="0" applyFont="1" applyAlignment="1" applyProtection="1">
      <alignment vertical="center" shrinkToFit="1"/>
      <protection hidden="1"/>
    </xf>
    <xf numFmtId="187" fontId="21" fillId="10" borderId="0" xfId="103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187" fontId="21" fillId="0" borderId="0" xfId="103" applyFont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 indent="1"/>
      <protection hidden="1"/>
    </xf>
    <xf numFmtId="2" fontId="21" fillId="0" borderId="0" xfId="0" applyNumberFormat="1" applyFont="1" applyFill="1" applyAlignment="1" applyProtection="1">
      <alignment horizontal="center" vertical="center"/>
    </xf>
    <xf numFmtId="191" fontId="21" fillId="0" borderId="0" xfId="0" quotePrefix="1" applyNumberFormat="1" applyFont="1" applyFill="1" applyAlignment="1" applyProtection="1">
      <alignment vertical="center"/>
    </xf>
    <xf numFmtId="39" fontId="21" fillId="0" borderId="0" xfId="0" applyNumberFormat="1" applyFont="1" applyFill="1" applyAlignment="1" applyProtection="1">
      <alignment horizontal="center" vertical="center"/>
    </xf>
    <xf numFmtId="191" fontId="21" fillId="0" borderId="0" xfId="0" applyNumberFormat="1" applyFont="1" applyAlignment="1" applyProtection="1">
      <alignment vertical="center"/>
    </xf>
    <xf numFmtId="191" fontId="21" fillId="10" borderId="0" xfId="0" quotePrefix="1" applyNumberFormat="1" applyFont="1" applyFill="1" applyAlignment="1" applyProtection="1">
      <alignment vertical="center"/>
    </xf>
    <xf numFmtId="0" fontId="21" fillId="12" borderId="0" xfId="0" applyFont="1" applyFill="1" applyAlignment="1" applyProtection="1">
      <alignment vertical="center"/>
      <protection hidden="1"/>
    </xf>
    <xf numFmtId="0" fontId="21" fillId="12" borderId="0" xfId="0" applyFont="1" applyFill="1" applyAlignment="1" applyProtection="1">
      <alignment horizontal="right" vertical="center"/>
      <protection hidden="1"/>
    </xf>
    <xf numFmtId="187" fontId="21" fillId="12" borderId="0" xfId="103" applyFont="1" applyFill="1" applyAlignment="1" applyProtection="1">
      <alignment horizontal="center" vertical="center"/>
      <protection hidden="1"/>
    </xf>
    <xf numFmtId="208" fontId="21" fillId="12" borderId="0" xfId="103" applyNumberFormat="1" applyFont="1" applyFill="1" applyAlignment="1" applyProtection="1">
      <alignment horizontal="right" vertical="center"/>
      <protection hidden="1"/>
    </xf>
    <xf numFmtId="0" fontId="21" fillId="0" borderId="0" xfId="0" applyFont="1" applyFill="1" applyAlignment="1" applyProtection="1">
      <alignment horizontal="right" vertical="center"/>
      <protection hidden="1"/>
    </xf>
    <xf numFmtId="0" fontId="21" fillId="12" borderId="0" xfId="0" applyFont="1" applyFill="1" applyAlignment="1" applyProtection="1">
      <alignment horizontal="left" vertical="center"/>
      <protection hidden="1"/>
    </xf>
    <xf numFmtId="2" fontId="21" fillId="0" borderId="0" xfId="0" applyNumberFormat="1" applyFont="1" applyBorder="1" applyAlignment="1">
      <alignment horizontal="center" vertical="center"/>
    </xf>
    <xf numFmtId="2" fontId="21" fillId="9" borderId="0" xfId="0" applyNumberFormat="1" applyFont="1" applyFill="1" applyAlignment="1" applyProtection="1">
      <alignment horizontal="center" vertical="center"/>
    </xf>
    <xf numFmtId="3" fontId="21" fillId="0" borderId="0" xfId="0" quotePrefix="1" applyNumberFormat="1" applyFont="1" applyFill="1" applyAlignment="1" applyProtection="1">
      <alignment vertical="center"/>
    </xf>
    <xf numFmtId="3" fontId="21" fillId="9" borderId="0" xfId="0" applyNumberFormat="1" applyFont="1" applyFill="1" applyAlignment="1" applyProtection="1">
      <alignment horizontal="center" vertical="center"/>
    </xf>
    <xf numFmtId="2" fontId="21" fillId="0" borderId="0" xfId="0" applyNumberFormat="1" applyFont="1" applyBorder="1" applyAlignment="1">
      <alignment horizontal="left" vertical="center"/>
    </xf>
    <xf numFmtId="191" fontId="21" fillId="62" borderId="0" xfId="0" quotePrefix="1" applyNumberFormat="1" applyFont="1" applyFill="1" applyAlignment="1" applyProtection="1">
      <alignment vertical="center"/>
    </xf>
    <xf numFmtId="4" fontId="21" fillId="62" borderId="0" xfId="0" quotePrefix="1" applyNumberFormat="1" applyFont="1" applyFill="1" applyAlignment="1" applyProtection="1">
      <alignment vertical="center" wrapText="1"/>
    </xf>
    <xf numFmtId="4" fontId="21" fillId="0" borderId="0" xfId="0" quotePrefix="1" applyNumberFormat="1" applyFont="1" applyFill="1" applyAlignment="1" applyProtection="1">
      <alignment vertical="center" wrapText="1"/>
    </xf>
    <xf numFmtId="2" fontId="21" fillId="0" borderId="0" xfId="0" applyNumberFormat="1" applyFont="1" applyFill="1" applyBorder="1" applyAlignment="1">
      <alignment horizontal="left" vertical="center"/>
    </xf>
    <xf numFmtId="37" fontId="21" fillId="0" borderId="0" xfId="0" applyNumberFormat="1" applyFont="1" applyFill="1" applyAlignment="1" applyProtection="1">
      <alignment horizontal="left" vertical="center"/>
    </xf>
    <xf numFmtId="39" fontId="21" fillId="0" borderId="0" xfId="0" applyNumberFormat="1" applyFont="1" applyFill="1" applyAlignment="1" applyProtection="1">
      <alignment horizontal="left" vertical="center"/>
    </xf>
    <xf numFmtId="2" fontId="21" fillId="10" borderId="0" xfId="0" applyNumberFormat="1" applyFont="1" applyFill="1" applyAlignment="1" applyProtection="1">
      <alignment horizontal="center" vertical="center"/>
    </xf>
    <xf numFmtId="39" fontId="21" fillId="9" borderId="0" xfId="0" applyNumberFormat="1" applyFont="1" applyFill="1" applyAlignment="1" applyProtection="1">
      <alignment vertical="center"/>
    </xf>
    <xf numFmtId="229" fontId="21" fillId="0" borderId="0" xfId="0" applyNumberFormat="1" applyFont="1" applyAlignment="1" applyProtection="1">
      <alignment vertical="center"/>
    </xf>
    <xf numFmtId="43" fontId="21" fillId="0" borderId="0" xfId="0" applyNumberFormat="1" applyFont="1" applyAlignment="1" applyProtection="1">
      <alignment vertical="center"/>
    </xf>
    <xf numFmtId="39" fontId="21" fillId="0" borderId="0" xfId="0" applyNumberFormat="1" applyFont="1" applyFill="1" applyAlignment="1" applyProtection="1">
      <alignment vertical="center"/>
      <protection locked="0"/>
    </xf>
    <xf numFmtId="39" fontId="21" fillId="0" borderId="0" xfId="0" applyNumberFormat="1" applyFont="1" applyFill="1" applyAlignment="1" applyProtection="1">
      <alignment vertical="center"/>
    </xf>
    <xf numFmtId="43" fontId="21" fillId="0" borderId="0" xfId="0" applyNumberFormat="1" applyFont="1" applyBorder="1" applyAlignment="1" applyProtection="1">
      <alignment vertical="center"/>
    </xf>
    <xf numFmtId="43" fontId="21" fillId="10" borderId="0" xfId="0" applyNumberFormat="1" applyFont="1" applyFill="1" applyBorder="1" applyAlignment="1" applyProtection="1">
      <alignment vertical="center"/>
    </xf>
    <xf numFmtId="0" fontId="21" fillId="9" borderId="0" xfId="0" applyFont="1" applyFill="1" applyAlignment="1" applyProtection="1">
      <alignment horizontal="center" vertical="center"/>
    </xf>
    <xf numFmtId="187" fontId="21" fillId="0" borderId="0" xfId="0" applyNumberFormat="1" applyFont="1" applyAlignment="1" applyProtection="1">
      <alignment horizontal="center" vertical="center"/>
    </xf>
    <xf numFmtId="39" fontId="21" fillId="12" borderId="0" xfId="0" applyNumberFormat="1" applyFont="1" applyFill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1" fillId="0" borderId="0" xfId="10" applyFont="1" applyAlignment="1" applyProtection="1">
      <alignment horizontal="center" vertical="center"/>
      <protection hidden="1"/>
    </xf>
    <xf numFmtId="0" fontId="21" fillId="0" borderId="0" xfId="10" applyFont="1" applyAlignment="1" applyProtection="1">
      <alignment vertical="center"/>
      <protection hidden="1"/>
    </xf>
    <xf numFmtId="1" fontId="21" fillId="0" borderId="0" xfId="0" applyNumberFormat="1" applyFont="1" applyFill="1" applyAlignment="1" applyProtection="1">
      <alignment horizontal="left" vertical="center"/>
      <protection locked="0"/>
    </xf>
    <xf numFmtId="187" fontId="21" fillId="0" borderId="0" xfId="0" applyNumberFormat="1" applyFont="1" applyAlignment="1" applyProtection="1">
      <alignment horizontal="left" vertical="center"/>
    </xf>
    <xf numFmtId="187" fontId="25" fillId="60" borderId="0" xfId="0" applyNumberFormat="1" applyFont="1" applyFill="1" applyBorder="1" applyAlignment="1" applyProtection="1">
      <alignment vertical="center"/>
    </xf>
    <xf numFmtId="187" fontId="21" fillId="0" borderId="0" xfId="0" applyNumberFormat="1" applyFont="1" applyFill="1" applyBorder="1" applyAlignment="1" applyProtection="1">
      <alignment vertical="center"/>
    </xf>
    <xf numFmtId="39" fontId="21" fillId="0" borderId="0" xfId="0" applyNumberFormat="1" applyFont="1" applyAlignment="1" applyProtection="1">
      <alignment horizontal="left"/>
    </xf>
    <xf numFmtId="41" fontId="21" fillId="0" borderId="0" xfId="0" applyNumberFormat="1" applyFont="1" applyProtection="1"/>
    <xf numFmtId="0" fontId="151" fillId="0" borderId="0" xfId="10" applyFont="1" applyAlignment="1" applyProtection="1">
      <alignment vertical="center"/>
      <protection hidden="1"/>
    </xf>
    <xf numFmtId="0" fontId="21" fillId="0" borderId="0" xfId="10" applyFont="1" applyAlignment="1" applyProtection="1">
      <alignment horizontal="right" vertical="center"/>
      <protection hidden="1"/>
    </xf>
    <xf numFmtId="208" fontId="21" fillId="0" borderId="0" xfId="11" applyNumberFormat="1" applyFont="1" applyAlignment="1" applyProtection="1">
      <alignment horizontal="right" vertical="center"/>
      <protection hidden="1"/>
    </xf>
    <xf numFmtId="187" fontId="21" fillId="0" borderId="0" xfId="11" applyNumberFormat="1" applyFont="1" applyAlignment="1" applyProtection="1">
      <alignment horizontal="left" vertical="center"/>
      <protection hidden="1"/>
    </xf>
    <xf numFmtId="0" fontId="21" fillId="0" borderId="0" xfId="10" applyFont="1" applyAlignment="1" applyProtection="1">
      <alignment horizontal="left" vertical="center"/>
      <protection hidden="1"/>
    </xf>
    <xf numFmtId="187" fontId="21" fillId="0" borderId="0" xfId="11" applyNumberFormat="1" applyFont="1" applyAlignment="1" applyProtection="1">
      <alignment vertical="center"/>
      <protection hidden="1"/>
    </xf>
    <xf numFmtId="0" fontId="21" fillId="0" borderId="0" xfId="10" quotePrefix="1" applyFont="1" applyAlignment="1" applyProtection="1">
      <alignment horizontal="left" vertical="center"/>
      <protection hidden="1"/>
    </xf>
    <xf numFmtId="208" fontId="140" fillId="0" borderId="0" xfId="11" applyNumberFormat="1" applyFont="1" applyAlignment="1" applyProtection="1">
      <alignment horizontal="right" vertical="center"/>
      <protection hidden="1"/>
    </xf>
    <xf numFmtId="1" fontId="21" fillId="0" borderId="0" xfId="0" applyNumberFormat="1" applyFont="1" applyFill="1" applyAlignment="1" applyProtection="1">
      <alignment horizontal="center" vertical="center"/>
      <protection locked="0"/>
    </xf>
    <xf numFmtId="0" fontId="39" fillId="0" borderId="0" xfId="0" applyFont="1" applyFill="1" applyAlignment="1" applyProtection="1">
      <alignment vertical="center"/>
    </xf>
    <xf numFmtId="4" fontId="22" fillId="0" borderId="0" xfId="0" quotePrefix="1" applyNumberFormat="1" applyFont="1" applyAlignment="1" applyProtection="1">
      <alignment vertical="center"/>
    </xf>
    <xf numFmtId="2" fontId="22" fillId="0" borderId="0" xfId="0" applyNumberFormat="1" applyFont="1" applyFill="1" applyAlignment="1" applyProtection="1">
      <alignment horizontal="center" vertical="center"/>
    </xf>
    <xf numFmtId="39" fontId="22" fillId="0" borderId="0" xfId="0" applyNumberFormat="1" applyFont="1" applyFill="1" applyAlignment="1" applyProtection="1">
      <alignment horizontal="left" vertical="center"/>
    </xf>
    <xf numFmtId="188" fontId="21" fillId="0" borderId="0" xfId="0" applyNumberFormat="1" applyFont="1" applyFill="1" applyAlignment="1" applyProtection="1">
      <alignment vertical="center"/>
    </xf>
    <xf numFmtId="0" fontId="22" fillId="10" borderId="0" xfId="0" applyFont="1" applyFill="1" applyAlignment="1" applyProtection="1">
      <alignment horizontal="center"/>
    </xf>
    <xf numFmtId="4" fontId="127" fillId="0" borderId="0" xfId="3" applyFont="1" applyProtection="1"/>
    <xf numFmtId="0" fontId="127" fillId="0" borderId="0" xfId="0" applyFont="1" applyProtection="1"/>
    <xf numFmtId="4" fontId="127" fillId="0" borderId="0" xfId="0" applyNumberFormat="1" applyFont="1" applyFill="1" applyProtection="1"/>
    <xf numFmtId="3" fontId="127" fillId="0" borderId="0" xfId="0" applyNumberFormat="1" applyFont="1" applyProtection="1"/>
    <xf numFmtId="0" fontId="127" fillId="0" borderId="0" xfId="0" applyFont="1" applyAlignment="1" applyProtection="1">
      <alignment horizontal="left" vertical="center"/>
    </xf>
    <xf numFmtId="0" fontId="127" fillId="0" borderId="0" xfId="0" applyFont="1" applyAlignment="1" applyProtection="1">
      <alignment vertical="center"/>
    </xf>
    <xf numFmtId="0" fontId="127" fillId="0" borderId="0" xfId="0" applyFont="1" applyFill="1" applyProtection="1"/>
    <xf numFmtId="3" fontId="127" fillId="0" borderId="0" xfId="0" applyNumberFormat="1" applyFont="1" applyAlignment="1" applyProtection="1">
      <alignment horizontal="center"/>
    </xf>
    <xf numFmtId="0" fontId="127" fillId="0" borderId="0" xfId="0" applyFont="1" applyAlignment="1" applyProtection="1">
      <alignment horizontal="left"/>
    </xf>
    <xf numFmtId="0" fontId="127" fillId="0" borderId="0" xfId="0" applyFont="1" applyAlignment="1" applyProtection="1"/>
    <xf numFmtId="191" fontId="127" fillId="0" borderId="0" xfId="0" applyNumberFormat="1" applyFont="1" applyFill="1" applyAlignment="1" applyProtection="1">
      <alignment horizontal="center"/>
    </xf>
    <xf numFmtId="189" fontId="127" fillId="10" borderId="0" xfId="0" applyNumberFormat="1" applyFont="1" applyFill="1" applyAlignment="1" applyProtection="1">
      <alignment horizontal="center"/>
    </xf>
    <xf numFmtId="2" fontId="127" fillId="10" borderId="0" xfId="0" quotePrefix="1" applyNumberFormat="1" applyFont="1" applyFill="1" applyAlignment="1" applyProtection="1">
      <alignment horizontal="center"/>
    </xf>
    <xf numFmtId="0" fontId="127" fillId="0" borderId="0" xfId="4" applyFont="1" applyAlignment="1">
      <alignment vertical="top"/>
    </xf>
    <xf numFmtId="43" fontId="127" fillId="0" borderId="0" xfId="4" applyNumberFormat="1" applyFont="1" applyAlignment="1">
      <alignment vertical="top"/>
    </xf>
    <xf numFmtId="0" fontId="127" fillId="0" borderId="0" xfId="0" applyFont="1" applyAlignment="1">
      <alignment vertical="top"/>
    </xf>
    <xf numFmtId="2" fontId="127" fillId="10" borderId="0" xfId="0" applyNumberFormat="1" applyFont="1" applyFill="1" applyAlignment="1" applyProtection="1">
      <alignment horizontal="center"/>
    </xf>
    <xf numFmtId="201" fontId="127" fillId="0" borderId="0" xfId="0" applyNumberFormat="1" applyFont="1" applyBorder="1" applyAlignment="1" applyProtection="1">
      <alignment horizontal="center"/>
    </xf>
    <xf numFmtId="0" fontId="127" fillId="0" borderId="0" xfId="0" applyFont="1" applyAlignment="1" applyProtection="1">
      <alignment horizontal="center"/>
    </xf>
    <xf numFmtId="189" fontId="127" fillId="0" borderId="0" xfId="0" applyNumberFormat="1" applyFont="1" applyAlignment="1" applyProtection="1">
      <alignment horizontal="center"/>
    </xf>
    <xf numFmtId="0" fontId="127" fillId="0" borderId="0" xfId="0" applyNumberFormat="1" applyFont="1" applyFill="1" applyProtection="1"/>
    <xf numFmtId="3" fontId="127" fillId="0" borderId="0" xfId="0" applyNumberFormat="1" applyFont="1" applyAlignment="1" applyProtection="1">
      <alignment horizontal="left"/>
    </xf>
    <xf numFmtId="43" fontId="127" fillId="0" borderId="0" xfId="1" applyFont="1" applyFill="1" applyAlignment="1" applyProtection="1">
      <alignment horizontal="left"/>
    </xf>
    <xf numFmtId="3" fontId="127" fillId="0" borderId="0" xfId="0" applyNumberFormat="1" applyFont="1" applyBorder="1" applyProtection="1"/>
    <xf numFmtId="0" fontId="127" fillId="0" borderId="66" xfId="0" applyFont="1" applyBorder="1" applyAlignment="1">
      <alignment horizontal="right" vertical="top"/>
    </xf>
    <xf numFmtId="0" fontId="127" fillId="0" borderId="67" xfId="0" applyFont="1" applyBorder="1" applyAlignment="1">
      <alignment vertical="top"/>
    </xf>
    <xf numFmtId="0" fontId="127" fillId="0" borderId="65" xfId="0" applyFont="1" applyBorder="1" applyAlignment="1">
      <alignment vertical="top"/>
    </xf>
    <xf numFmtId="0" fontId="127" fillId="0" borderId="0" xfId="0" applyFont="1" applyFill="1" applyBorder="1" applyProtection="1"/>
    <xf numFmtId="0" fontId="127" fillId="0" borderId="0" xfId="0" applyFont="1" applyBorder="1" applyAlignment="1" applyProtection="1">
      <alignment horizontal="left"/>
    </xf>
    <xf numFmtId="201" fontId="127" fillId="0" borderId="0" xfId="0" applyNumberFormat="1" applyFont="1" applyFill="1" applyBorder="1" applyAlignment="1" applyProtection="1">
      <alignment horizontal="center"/>
    </xf>
    <xf numFmtId="197" fontId="127" fillId="0" borderId="0" xfId="0" applyNumberFormat="1" applyFont="1" applyFill="1" applyProtection="1"/>
    <xf numFmtId="3" fontId="127" fillId="0" borderId="0" xfId="0" applyNumberFormat="1" applyFont="1" applyBorder="1" applyAlignment="1" applyProtection="1">
      <alignment horizontal="left"/>
    </xf>
    <xf numFmtId="0" fontId="127" fillId="0" borderId="0" xfId="0" applyFont="1" applyAlignment="1" applyProtection="1">
      <alignment horizontal="right"/>
    </xf>
    <xf numFmtId="0" fontId="127" fillId="0" borderId="0" xfId="0" applyFont="1" applyAlignment="1">
      <alignment horizontal="center" vertical="top"/>
    </xf>
    <xf numFmtId="43" fontId="127" fillId="0" borderId="0" xfId="1" applyFont="1" applyAlignment="1">
      <alignment vertical="top"/>
    </xf>
    <xf numFmtId="0" fontId="127" fillId="0" borderId="0" xfId="0" applyFont="1" applyAlignment="1">
      <alignment horizontal="left" vertical="top"/>
    </xf>
    <xf numFmtId="0" fontId="127" fillId="0" borderId="16" xfId="0" applyFont="1" applyBorder="1" applyAlignment="1" applyProtection="1">
      <alignment horizontal="center" vertical="center"/>
    </xf>
    <xf numFmtId="0" fontId="127" fillId="0" borderId="27" xfId="0" applyFont="1" applyBorder="1" applyAlignment="1" applyProtection="1">
      <alignment horizontal="center"/>
    </xf>
    <xf numFmtId="3" fontId="127" fillId="0" borderId="27" xfId="0" applyNumberFormat="1" applyFont="1" applyBorder="1" applyProtection="1"/>
    <xf numFmtId="0" fontId="127" fillId="0" borderId="30" xfId="0" applyFont="1" applyBorder="1" applyProtection="1"/>
    <xf numFmtId="188" fontId="127" fillId="0" borderId="17" xfId="0" applyNumberFormat="1" applyFont="1" applyBorder="1" applyProtection="1"/>
    <xf numFmtId="0" fontId="127" fillId="0" borderId="0" xfId="0" applyFont="1" applyBorder="1" applyProtection="1"/>
    <xf numFmtId="196" fontId="127" fillId="0" borderId="17" xfId="0" applyNumberFormat="1" applyFont="1" applyFill="1" applyBorder="1" applyProtection="1"/>
    <xf numFmtId="202" fontId="127" fillId="0" borderId="0" xfId="1" applyNumberFormat="1" applyFont="1" applyAlignment="1">
      <alignment vertical="top"/>
    </xf>
    <xf numFmtId="0" fontId="127" fillId="0" borderId="27" xfId="0" applyFont="1" applyBorder="1" applyProtection="1"/>
    <xf numFmtId="0" fontId="127" fillId="0" borderId="27" xfId="0" applyFont="1" applyBorder="1" applyAlignment="1" applyProtection="1">
      <alignment horizontal="left"/>
    </xf>
    <xf numFmtId="0" fontId="127" fillId="0" borderId="17" xfId="0" applyFont="1" applyBorder="1" applyAlignment="1" applyProtection="1">
      <alignment horizontal="left"/>
    </xf>
    <xf numFmtId="43" fontId="127" fillId="0" borderId="0" xfId="1" applyFont="1" applyBorder="1" applyAlignment="1" applyProtection="1">
      <alignment horizontal="center"/>
    </xf>
    <xf numFmtId="43" fontId="127" fillId="0" borderId="17" xfId="1" applyFont="1" applyBorder="1" applyAlignment="1" applyProtection="1">
      <alignment horizontal="center"/>
    </xf>
    <xf numFmtId="0" fontId="127" fillId="0" borderId="131" xfId="0" applyFont="1" applyBorder="1" applyAlignment="1">
      <alignment horizontal="center" vertical="top"/>
    </xf>
    <xf numFmtId="0" fontId="127" fillId="0" borderId="110" xfId="0" applyFont="1" applyBorder="1" applyAlignment="1">
      <alignment horizontal="center" vertical="top"/>
    </xf>
    <xf numFmtId="0" fontId="127" fillId="0" borderId="132" xfId="0" applyFont="1" applyBorder="1" applyAlignment="1">
      <alignment horizontal="center" vertical="top"/>
    </xf>
    <xf numFmtId="0" fontId="127" fillId="0" borderId="0" xfId="0" applyFont="1" applyFill="1" applyBorder="1" applyAlignment="1">
      <alignment horizontal="center" vertical="top"/>
    </xf>
    <xf numFmtId="39" fontId="127" fillId="0" borderId="0" xfId="0" applyNumberFormat="1" applyFont="1" applyFill="1" applyBorder="1" applyProtection="1"/>
    <xf numFmtId="0" fontId="127" fillId="0" borderId="17" xfId="0" applyFont="1" applyBorder="1" applyProtection="1"/>
    <xf numFmtId="0" fontId="127" fillId="0" borderId="133" xfId="0" applyFont="1" applyBorder="1" applyAlignment="1">
      <alignment vertical="top"/>
    </xf>
    <xf numFmtId="202" fontId="127" fillId="0" borderId="10" xfId="0" applyNumberFormat="1" applyFont="1" applyBorder="1" applyAlignment="1">
      <alignment horizontal="center" vertical="top"/>
    </xf>
    <xf numFmtId="43" fontId="127" fillId="0" borderId="10" xfId="0" applyNumberFormat="1" applyFont="1" applyBorder="1" applyAlignment="1">
      <alignment horizontal="center" vertical="top"/>
    </xf>
    <xf numFmtId="0" fontId="127" fillId="0" borderId="134" xfId="0" applyFont="1" applyBorder="1" applyAlignment="1">
      <alignment horizontal="center" vertical="top"/>
    </xf>
    <xf numFmtId="0" fontId="127" fillId="0" borderId="0" xfId="0" applyFont="1" applyFill="1" applyBorder="1" applyAlignment="1">
      <alignment horizontal="right" vertical="top"/>
    </xf>
    <xf numFmtId="0" fontId="127" fillId="0" borderId="0" xfId="0" applyFont="1" applyFill="1" applyBorder="1" applyAlignment="1">
      <alignment horizontal="left" vertical="top"/>
    </xf>
    <xf numFmtId="0" fontId="127" fillId="0" borderId="26" xfId="0" applyFont="1" applyBorder="1" applyAlignment="1" applyProtection="1">
      <alignment horizontal="center"/>
    </xf>
    <xf numFmtId="3" fontId="127" fillId="0" borderId="26" xfId="0" applyNumberFormat="1" applyFont="1" applyBorder="1" applyProtection="1"/>
    <xf numFmtId="0" fontId="127" fillId="0" borderId="66" xfId="0" applyFont="1" applyBorder="1" applyAlignment="1">
      <alignment vertical="top"/>
    </xf>
    <xf numFmtId="0" fontId="127" fillId="0" borderId="36" xfId="0" applyFont="1" applyBorder="1" applyAlignment="1">
      <alignment vertical="top"/>
    </xf>
    <xf numFmtId="228" fontId="127" fillId="0" borderId="37" xfId="0" applyNumberFormat="1" applyFont="1" applyBorder="1" applyAlignment="1">
      <alignment vertical="top"/>
    </xf>
    <xf numFmtId="0" fontId="127" fillId="0" borderId="48" xfId="0" applyFont="1" applyBorder="1" applyAlignment="1">
      <alignment vertical="top"/>
    </xf>
    <xf numFmtId="188" fontId="127" fillId="0" borderId="0" xfId="0" applyNumberFormat="1" applyFont="1" applyAlignment="1">
      <alignment vertical="top"/>
    </xf>
    <xf numFmtId="3" fontId="127" fillId="0" borderId="25" xfId="0" applyNumberFormat="1" applyFont="1" applyBorder="1" applyProtection="1"/>
    <xf numFmtId="0" fontId="127" fillId="0" borderId="11" xfId="0" applyFont="1" applyBorder="1" applyProtection="1"/>
    <xf numFmtId="203" fontId="152" fillId="0" borderId="0" xfId="0" applyNumberFormat="1" applyFont="1" applyProtection="1"/>
    <xf numFmtId="43" fontId="127" fillId="0" borderId="0" xfId="0" applyNumberFormat="1" applyFont="1" applyProtection="1"/>
    <xf numFmtId="0" fontId="127" fillId="0" borderId="26" xfId="0" applyFont="1" applyBorder="1" applyProtection="1"/>
    <xf numFmtId="0" fontId="127" fillId="0" borderId="29" xfId="0" applyFont="1" applyBorder="1" applyProtection="1"/>
    <xf numFmtId="3" fontId="127" fillId="0" borderId="29" xfId="0" applyNumberFormat="1" applyFont="1" applyBorder="1" applyAlignment="1" applyProtection="1">
      <alignment horizontal="center"/>
    </xf>
    <xf numFmtId="3" fontId="127" fillId="0" borderId="29" xfId="0" applyNumberFormat="1" applyFont="1" applyBorder="1" applyProtection="1"/>
    <xf numFmtId="0" fontId="127" fillId="0" borderId="14" xfId="0" applyFont="1" applyBorder="1" applyProtection="1"/>
    <xf numFmtId="3" fontId="127" fillId="0" borderId="0" xfId="0" applyNumberFormat="1" applyFont="1" applyBorder="1" applyAlignment="1" applyProtection="1">
      <alignment horizontal="center"/>
    </xf>
    <xf numFmtId="2" fontId="127" fillId="0" borderId="0" xfId="0" applyNumberFormat="1" applyFont="1" applyProtection="1"/>
    <xf numFmtId="4" fontId="127" fillId="0" borderId="0" xfId="0" applyNumberFormat="1" applyFont="1" applyAlignment="1" applyProtection="1">
      <alignment horizontal="center"/>
    </xf>
    <xf numFmtId="3" fontId="127" fillId="0" borderId="0" xfId="0" applyNumberFormat="1" applyFont="1" applyAlignment="1" applyProtection="1"/>
    <xf numFmtId="0" fontId="127" fillId="0" borderId="0" xfId="0" applyFont="1" applyFill="1" applyAlignment="1">
      <alignment vertical="center"/>
    </xf>
    <xf numFmtId="4" fontId="127" fillId="0" borderId="0" xfId="3" applyFont="1" applyAlignment="1" applyProtection="1">
      <alignment horizontal="right"/>
    </xf>
    <xf numFmtId="4" fontId="127" fillId="0" borderId="0" xfId="0" applyNumberFormat="1" applyFont="1" applyFill="1" applyBorder="1" applyAlignment="1">
      <alignment horizontal="right" vertical="center"/>
    </xf>
    <xf numFmtId="0" fontId="127" fillId="0" borderId="0" xfId="0" applyFont="1" applyFill="1" applyAlignment="1">
      <alignment horizontal="left" vertical="center"/>
    </xf>
    <xf numFmtId="4" fontId="153" fillId="0" borderId="0" xfId="3" applyFont="1" applyProtection="1"/>
    <xf numFmtId="0" fontId="127" fillId="0" borderId="0" xfId="0" applyFont="1" applyFill="1" applyAlignment="1">
      <alignment horizontal="right" vertical="center"/>
    </xf>
    <xf numFmtId="4" fontId="127" fillId="0" borderId="0" xfId="0" applyNumberFormat="1" applyFont="1" applyAlignment="1" applyProtection="1">
      <alignment horizontal="right"/>
    </xf>
    <xf numFmtId="4" fontId="127" fillId="0" borderId="0" xfId="0" applyNumberFormat="1" applyFont="1" applyFill="1" applyAlignment="1">
      <alignment horizontal="left" vertical="center"/>
    </xf>
    <xf numFmtId="0" fontId="127" fillId="0" borderId="0" xfId="0" applyFont="1"/>
    <xf numFmtId="0" fontId="127" fillId="0" borderId="0" xfId="0" applyFont="1" applyFill="1" applyAlignment="1">
      <alignment horizontal="center" vertical="center"/>
    </xf>
    <xf numFmtId="0" fontId="127" fillId="0" borderId="0" xfId="0" applyFont="1" applyAlignment="1">
      <alignment vertical="center"/>
    </xf>
    <xf numFmtId="4" fontId="127" fillId="0" borderId="0" xfId="3" applyFont="1" applyAlignment="1" applyProtection="1"/>
    <xf numFmtId="0" fontId="153" fillId="0" borderId="0" xfId="0" applyFont="1" applyProtection="1"/>
    <xf numFmtId="0" fontId="154" fillId="0" borderId="0" xfId="0" applyFont="1" applyAlignment="1" applyProtection="1">
      <alignment vertical="center"/>
    </xf>
    <xf numFmtId="0" fontId="127" fillId="0" borderId="0" xfId="0" applyFont="1" applyAlignment="1" applyProtection="1">
      <alignment horizontal="right" vertical="center"/>
    </xf>
    <xf numFmtId="0" fontId="154" fillId="0" borderId="0" xfId="0" applyFont="1" applyBorder="1" applyAlignment="1" applyProtection="1">
      <alignment vertical="center"/>
    </xf>
    <xf numFmtId="0" fontId="154" fillId="0" borderId="0" xfId="0" applyFont="1" applyBorder="1" applyAlignment="1" applyProtection="1">
      <alignment horizontal="right" vertical="center"/>
    </xf>
    <xf numFmtId="189" fontId="154" fillId="0" borderId="0" xfId="0" applyNumberFormat="1" applyFont="1" applyBorder="1" applyAlignment="1" applyProtection="1">
      <alignment vertical="center"/>
    </xf>
    <xf numFmtId="0" fontId="154" fillId="0" borderId="0" xfId="0" applyFont="1" applyBorder="1" applyAlignment="1" applyProtection="1">
      <alignment horizontal="left" vertical="center"/>
    </xf>
    <xf numFmtId="189" fontId="154" fillId="0" borderId="0" xfId="0" applyNumberFormat="1" applyFont="1" applyBorder="1" applyAlignment="1" applyProtection="1">
      <alignment horizontal="right" vertical="center"/>
    </xf>
    <xf numFmtId="0" fontId="154" fillId="0" borderId="0" xfId="0" applyFont="1" applyBorder="1" applyProtection="1"/>
    <xf numFmtId="0" fontId="154" fillId="0" borderId="29" xfId="0" applyFont="1" applyBorder="1" applyAlignment="1" applyProtection="1">
      <alignment vertical="center"/>
    </xf>
    <xf numFmtId="0" fontId="127" fillId="0" borderId="29" xfId="0" applyFont="1" applyBorder="1" applyAlignment="1" applyProtection="1">
      <alignment vertical="center"/>
    </xf>
    <xf numFmtId="0" fontId="154" fillId="0" borderId="10" xfId="0" applyFont="1" applyBorder="1" applyAlignment="1" applyProtection="1">
      <alignment horizontal="center"/>
    </xf>
    <xf numFmtId="0" fontId="154" fillId="0" borderId="16" xfId="0" applyFont="1" applyBorder="1" applyAlignment="1" applyProtection="1">
      <alignment horizontal="center" vertical="center"/>
    </xf>
    <xf numFmtId="0" fontId="154" fillId="0" borderId="15" xfId="0" applyFont="1" applyBorder="1" applyAlignment="1" applyProtection="1">
      <alignment horizontal="center"/>
    </xf>
    <xf numFmtId="0" fontId="154" fillId="0" borderId="28" xfId="0" applyFont="1" applyBorder="1" applyAlignment="1" applyProtection="1">
      <alignment horizontal="center" vertical="center"/>
    </xf>
    <xf numFmtId="0" fontId="154" fillId="0" borderId="86" xfId="0" applyFont="1" applyBorder="1" applyAlignment="1" applyProtection="1">
      <alignment horizontal="center" vertical="center"/>
    </xf>
    <xf numFmtId="0" fontId="154" fillId="0" borderId="86" xfId="0" applyFont="1" applyBorder="1" applyAlignment="1" applyProtection="1">
      <alignment horizontal="center"/>
    </xf>
    <xf numFmtId="0" fontId="154" fillId="0" borderId="83" xfId="0" applyFont="1" applyBorder="1" applyAlignment="1" applyProtection="1">
      <alignment horizontal="center" vertical="center"/>
    </xf>
    <xf numFmtId="0" fontId="154" fillId="0" borderId="85" xfId="0" applyFont="1" applyBorder="1" applyAlignment="1" applyProtection="1">
      <alignment horizontal="center" vertical="center"/>
    </xf>
    <xf numFmtId="0" fontId="154" fillId="0" borderId="94" xfId="0" applyFont="1" applyBorder="1" applyAlignment="1" applyProtection="1">
      <alignment horizontal="center"/>
    </xf>
    <xf numFmtId="0" fontId="154" fillId="0" borderId="90" xfId="0" applyFont="1" applyBorder="1" applyProtection="1"/>
    <xf numFmtId="0" fontId="127" fillId="0" borderId="89" xfId="0" applyFont="1" applyBorder="1" applyProtection="1"/>
    <xf numFmtId="3" fontId="127" fillId="0" borderId="94" xfId="0" applyNumberFormat="1" applyFont="1" applyBorder="1" applyProtection="1"/>
    <xf numFmtId="0" fontId="127" fillId="0" borderId="94" xfId="0" applyFont="1" applyBorder="1" applyProtection="1"/>
    <xf numFmtId="0" fontId="127" fillId="0" borderId="88" xfId="0" applyFont="1" applyBorder="1" applyProtection="1"/>
    <xf numFmtId="0" fontId="127" fillId="0" borderId="90" xfId="0" applyFont="1" applyBorder="1" applyProtection="1"/>
    <xf numFmtId="43" fontId="127" fillId="10" borderId="94" xfId="1" applyFont="1" applyFill="1" applyBorder="1" applyAlignment="1" applyProtection="1">
      <alignment horizontal="center"/>
    </xf>
    <xf numFmtId="0" fontId="127" fillId="0" borderId="94" xfId="0" applyFont="1" applyBorder="1" applyAlignment="1" applyProtection="1">
      <alignment horizontal="center"/>
    </xf>
    <xf numFmtId="187" fontId="127" fillId="0" borderId="94" xfId="0" applyNumberFormat="1" applyFont="1" applyBorder="1" applyAlignment="1" applyProtection="1"/>
    <xf numFmtId="43" fontId="127" fillId="0" borderId="94" xfId="0" applyNumberFormat="1" applyFont="1" applyBorder="1" applyProtection="1"/>
    <xf numFmtId="202" fontId="127" fillId="0" borderId="88" xfId="0" applyNumberFormat="1" applyFont="1" applyBorder="1" applyProtection="1"/>
    <xf numFmtId="43" fontId="127" fillId="0" borderId="88" xfId="0" applyNumberFormat="1" applyFont="1" applyBorder="1" applyProtection="1"/>
    <xf numFmtId="43" fontId="127" fillId="4" borderId="94" xfId="1" applyFont="1" applyFill="1" applyBorder="1" applyAlignment="1" applyProtection="1">
      <alignment horizontal="center"/>
    </xf>
    <xf numFmtId="0" fontId="156" fillId="0" borderId="88" xfId="0" applyFont="1" applyBorder="1" applyProtection="1"/>
    <xf numFmtId="0" fontId="156" fillId="0" borderId="90" xfId="0" applyFont="1" applyBorder="1" applyProtection="1"/>
    <xf numFmtId="0" fontId="157" fillId="0" borderId="94" xfId="0" applyFont="1" applyBorder="1" applyAlignment="1" applyProtection="1">
      <alignment horizontal="center"/>
    </xf>
    <xf numFmtId="0" fontId="156" fillId="0" borderId="0" xfId="0" applyFont="1" applyProtection="1"/>
    <xf numFmtId="0" fontId="156" fillId="0" borderId="94" xfId="0" applyFont="1" applyBorder="1" applyProtection="1"/>
    <xf numFmtId="43" fontId="156" fillId="0" borderId="0" xfId="0" applyNumberFormat="1" applyFont="1" applyProtection="1"/>
    <xf numFmtId="187" fontId="127" fillId="9" borderId="94" xfId="0" applyNumberFormat="1" applyFont="1" applyFill="1" applyBorder="1" applyAlignment="1" applyProtection="1"/>
    <xf numFmtId="0" fontId="156" fillId="0" borderId="0" xfId="0" applyFont="1" applyBorder="1" applyProtection="1"/>
    <xf numFmtId="3" fontId="127" fillId="0" borderId="94" xfId="0" applyNumberFormat="1" applyFont="1" applyFill="1" applyBorder="1" applyProtection="1"/>
    <xf numFmtId="0" fontId="127" fillId="0" borderId="88" xfId="0" applyFont="1" applyBorder="1" applyAlignment="1" applyProtection="1">
      <alignment horizontal="center"/>
    </xf>
    <xf numFmtId="43" fontId="127" fillId="10" borderId="94" xfId="1" applyFont="1" applyFill="1" applyBorder="1" applyAlignment="1" applyProtection="1">
      <alignment horizontal="center" vertical="center"/>
    </xf>
    <xf numFmtId="41" fontId="127" fillId="0" borderId="94" xfId="0" applyNumberFormat="1" applyFont="1" applyFill="1" applyBorder="1" applyProtection="1"/>
    <xf numFmtId="49" fontId="154" fillId="0" borderId="88" xfId="0" applyNumberFormat="1" applyFont="1" applyBorder="1" applyProtection="1"/>
    <xf numFmtId="49" fontId="127" fillId="0" borderId="88" xfId="0" applyNumberFormat="1" applyFont="1" applyBorder="1" applyProtection="1"/>
    <xf numFmtId="3" fontId="127" fillId="0" borderId="94" xfId="0" applyNumberFormat="1" applyFont="1" applyFill="1" applyBorder="1" applyAlignment="1" applyProtection="1">
      <alignment horizontal="center"/>
    </xf>
    <xf numFmtId="0" fontId="154" fillId="0" borderId="88" xfId="0" applyFont="1" applyBorder="1" applyProtection="1"/>
    <xf numFmtId="187" fontId="127" fillId="0" borderId="90" xfId="0" applyNumberFormat="1" applyFont="1" applyBorder="1" applyAlignment="1" applyProtection="1"/>
    <xf numFmtId="39" fontId="127" fillId="0" borderId="88" xfId="0" applyNumberFormat="1" applyFont="1" applyBorder="1" applyAlignment="1" applyProtection="1">
      <alignment horizontal="left"/>
    </xf>
    <xf numFmtId="230" fontId="127" fillId="0" borderId="94" xfId="0" applyNumberFormat="1" applyFont="1" applyBorder="1" applyAlignment="1" applyProtection="1"/>
    <xf numFmtId="39" fontId="127" fillId="0" borderId="94" xfId="0" applyNumberFormat="1" applyFont="1" applyBorder="1" applyAlignment="1" applyProtection="1">
      <alignment horizontal="center"/>
    </xf>
    <xf numFmtId="41" fontId="127" fillId="0" borderId="94" xfId="0" applyNumberFormat="1" applyFont="1" applyBorder="1" applyProtection="1"/>
    <xf numFmtId="39" fontId="127" fillId="0" borderId="89" xfId="0" applyNumberFormat="1" applyFont="1" applyBorder="1" applyAlignment="1" applyProtection="1">
      <alignment horizontal="left"/>
    </xf>
    <xf numFmtId="2" fontId="127" fillId="10" borderId="94" xfId="0" applyNumberFormat="1" applyFont="1" applyFill="1" applyBorder="1" applyAlignment="1" applyProtection="1">
      <alignment horizontal="center"/>
    </xf>
    <xf numFmtId="1" fontId="127" fillId="10" borderId="94" xfId="0" applyNumberFormat="1" applyFont="1" applyFill="1" applyBorder="1" applyAlignment="1" applyProtection="1">
      <alignment horizontal="center"/>
    </xf>
    <xf numFmtId="41" fontId="127" fillId="0" borderId="94" xfId="0" applyNumberFormat="1" applyFont="1" applyFill="1" applyBorder="1" applyAlignment="1" applyProtection="1">
      <alignment horizontal="right"/>
    </xf>
    <xf numFmtId="43" fontId="127" fillId="0" borderId="94" xfId="0" applyNumberFormat="1" applyFont="1" applyFill="1" applyBorder="1" applyProtection="1"/>
    <xf numFmtId="39" fontId="127" fillId="0" borderId="89" xfId="0" applyNumberFormat="1" applyFont="1" applyFill="1" applyBorder="1" applyAlignment="1" applyProtection="1">
      <alignment horizontal="left"/>
    </xf>
    <xf numFmtId="0" fontId="127" fillId="10" borderId="94" xfId="1" applyNumberFormat="1" applyFont="1" applyFill="1" applyBorder="1" applyAlignment="1" applyProtection="1">
      <alignment horizontal="center"/>
    </xf>
    <xf numFmtId="39" fontId="127" fillId="0" borderId="88" xfId="0" applyNumberFormat="1" applyFont="1" applyFill="1" applyBorder="1" applyAlignment="1" applyProtection="1">
      <alignment horizontal="left"/>
    </xf>
    <xf numFmtId="0" fontId="127" fillId="0" borderId="15" xfId="0" applyFont="1" applyBorder="1" applyProtection="1"/>
    <xf numFmtId="0" fontId="127" fillId="0" borderId="28" xfId="0" applyFont="1" applyBorder="1" applyProtection="1"/>
    <xf numFmtId="0" fontId="154" fillId="0" borderId="12" xfId="0" applyFont="1" applyBorder="1" applyAlignment="1" applyProtection="1">
      <alignment horizontal="left"/>
    </xf>
    <xf numFmtId="0" fontId="127" fillId="0" borderId="16" xfId="0" applyFont="1" applyBorder="1" applyProtection="1"/>
    <xf numFmtId="4" fontId="154" fillId="0" borderId="16" xfId="0" applyNumberFormat="1" applyFont="1" applyBorder="1" applyProtection="1"/>
    <xf numFmtId="4" fontId="154" fillId="0" borderId="28" xfId="0" applyNumberFormat="1" applyFont="1" applyBorder="1" applyProtection="1"/>
    <xf numFmtId="0" fontId="127" fillId="0" borderId="12" xfId="0" applyFont="1" applyBorder="1" applyProtection="1"/>
    <xf numFmtId="0" fontId="154" fillId="0" borderId="0" xfId="0" applyFont="1" applyAlignment="1" applyProtection="1">
      <alignment horizontal="center" vertical="center"/>
    </xf>
    <xf numFmtId="0" fontId="154" fillId="0" borderId="10" xfId="0" applyFont="1" applyBorder="1" applyAlignment="1" applyProtection="1">
      <alignment horizontal="center" vertical="center"/>
    </xf>
    <xf numFmtId="0" fontId="154" fillId="0" borderId="15" xfId="0" applyFont="1" applyBorder="1" applyAlignment="1" applyProtection="1">
      <alignment horizontal="center" vertical="center"/>
    </xf>
    <xf numFmtId="0" fontId="127" fillId="0" borderId="86" xfId="0" applyFont="1" applyBorder="1" applyAlignment="1" applyProtection="1">
      <alignment horizontal="center"/>
    </xf>
    <xf numFmtId="0" fontId="127" fillId="0" borderId="83" xfId="0" applyFont="1" applyBorder="1" applyAlignment="1" applyProtection="1">
      <alignment horizontal="center"/>
    </xf>
    <xf numFmtId="0" fontId="154" fillId="0" borderId="85" xfId="0" applyFont="1" applyBorder="1" applyAlignment="1" applyProtection="1">
      <alignment horizontal="left"/>
    </xf>
    <xf numFmtId="4" fontId="154" fillId="0" borderId="86" xfId="0" applyNumberFormat="1" applyFont="1" applyBorder="1" applyAlignment="1" applyProtection="1">
      <alignment horizontal="right"/>
    </xf>
    <xf numFmtId="4" fontId="154" fillId="0" borderId="83" xfId="0" applyNumberFormat="1" applyFont="1" applyBorder="1" applyAlignment="1" applyProtection="1">
      <alignment horizontal="right"/>
    </xf>
    <xf numFmtId="0" fontId="127" fillId="0" borderId="85" xfId="0" applyFont="1" applyBorder="1" applyProtection="1"/>
    <xf numFmtId="0" fontId="127" fillId="0" borderId="91" xfId="0" applyFont="1" applyBorder="1" applyAlignment="1" applyProtection="1">
      <alignment horizontal="center"/>
    </xf>
    <xf numFmtId="0" fontId="127" fillId="0" borderId="121" xfId="0" applyFont="1" applyBorder="1" applyAlignment="1" applyProtection="1">
      <alignment horizontal="center"/>
    </xf>
    <xf numFmtId="0" fontId="127" fillId="0" borderId="124" xfId="0" applyFont="1" applyBorder="1" applyProtection="1"/>
    <xf numFmtId="39" fontId="127" fillId="0" borderId="96" xfId="0" applyNumberFormat="1" applyFont="1" applyBorder="1" applyAlignment="1" applyProtection="1">
      <alignment horizontal="left"/>
    </xf>
    <xf numFmtId="0" fontId="127" fillId="0" borderId="96" xfId="0" applyFont="1" applyBorder="1" applyProtection="1"/>
    <xf numFmtId="2" fontId="127" fillId="10" borderId="97" xfId="0" applyNumberFormat="1" applyFont="1" applyFill="1" applyBorder="1" applyAlignment="1" applyProtection="1">
      <alignment horizontal="center"/>
    </xf>
    <xf numFmtId="39" fontId="127" fillId="0" borderId="97" xfId="0" applyNumberFormat="1" applyFont="1" applyBorder="1" applyAlignment="1" applyProtection="1">
      <alignment horizontal="center"/>
    </xf>
    <xf numFmtId="187" fontId="127" fillId="0" borderId="97" xfId="0" applyNumberFormat="1" applyFont="1" applyBorder="1" applyAlignment="1" applyProtection="1"/>
    <xf numFmtId="187" fontId="127" fillId="0" borderId="98" xfId="0" applyNumberFormat="1" applyFont="1" applyBorder="1" applyAlignment="1" applyProtection="1"/>
    <xf numFmtId="43" fontId="127" fillId="0" borderId="97" xfId="0" applyNumberFormat="1" applyFont="1" applyBorder="1" applyProtection="1"/>
    <xf numFmtId="43" fontId="127" fillId="0" borderId="122" xfId="0" applyNumberFormat="1" applyFont="1" applyBorder="1" applyProtection="1"/>
    <xf numFmtId="0" fontId="127" fillId="0" borderId="122" xfId="0" applyFont="1" applyBorder="1" applyProtection="1"/>
    <xf numFmtId="0" fontId="127" fillId="0" borderId="98" xfId="0" applyFont="1" applyBorder="1" applyProtection="1"/>
    <xf numFmtId="0" fontId="127" fillId="0" borderId="90" xfId="0" applyFont="1" applyFill="1" applyBorder="1" applyProtection="1"/>
    <xf numFmtId="187" fontId="127" fillId="0" borderId="90" xfId="0" applyNumberFormat="1" applyFont="1" applyFill="1" applyBorder="1" applyAlignment="1" applyProtection="1"/>
    <xf numFmtId="39" fontId="127" fillId="0" borderId="89" xfId="0" applyNumberFormat="1" applyFont="1" applyFill="1" applyBorder="1" applyAlignment="1" applyProtection="1">
      <alignment horizontal="center"/>
    </xf>
    <xf numFmtId="0" fontId="127" fillId="0" borderId="89" xfId="0" applyFont="1" applyFill="1" applyBorder="1" applyProtection="1"/>
    <xf numFmtId="39" fontId="154" fillId="0" borderId="89" xfId="0" applyNumberFormat="1" applyFont="1" applyFill="1" applyBorder="1" applyAlignment="1" applyProtection="1">
      <alignment horizontal="left"/>
    </xf>
    <xf numFmtId="39" fontId="127" fillId="0" borderId="90" xfId="0" applyNumberFormat="1" applyFont="1" applyFill="1" applyBorder="1" applyAlignment="1" applyProtection="1">
      <alignment horizontal="left"/>
    </xf>
    <xf numFmtId="39" fontId="154" fillId="0" borderId="90" xfId="0" applyNumberFormat="1" applyFont="1" applyFill="1" applyBorder="1" applyAlignment="1" applyProtection="1">
      <alignment vertical="center"/>
    </xf>
    <xf numFmtId="43" fontId="154" fillId="0" borderId="94" xfId="0" applyNumberFormat="1" applyFont="1" applyBorder="1" applyProtection="1"/>
    <xf numFmtId="0" fontId="127" fillId="0" borderId="99" xfId="0" applyFont="1" applyBorder="1" applyProtection="1"/>
    <xf numFmtId="0" fontId="127" fillId="0" borderId="100" xfId="0" applyFont="1" applyBorder="1" applyProtection="1"/>
    <xf numFmtId="0" fontId="127" fillId="0" borderId="102" xfId="0" applyFont="1" applyBorder="1" applyProtection="1"/>
    <xf numFmtId="0" fontId="154" fillId="0" borderId="30" xfId="0" applyFont="1" applyBorder="1" applyAlignment="1" applyProtection="1"/>
    <xf numFmtId="43" fontId="154" fillId="0" borderId="28" xfId="0" applyNumberFormat="1" applyFont="1" applyBorder="1" applyAlignment="1" applyProtection="1">
      <alignment vertical="center"/>
    </xf>
    <xf numFmtId="202" fontId="127" fillId="0" borderId="28" xfId="0" applyNumberFormat="1" applyFont="1" applyBorder="1" applyAlignment="1" applyProtection="1">
      <alignment vertical="center"/>
    </xf>
    <xf numFmtId="43" fontId="127" fillId="0" borderId="28" xfId="0" applyNumberFormat="1" applyFont="1" applyBorder="1" applyAlignment="1" applyProtection="1">
      <alignment vertical="center"/>
    </xf>
    <xf numFmtId="0" fontId="154" fillId="0" borderId="0" xfId="0" applyFont="1" applyAlignment="1" applyProtection="1">
      <alignment horizontal="center"/>
    </xf>
    <xf numFmtId="4" fontId="127" fillId="0" borderId="0" xfId="3" applyFont="1" applyAlignment="1" applyProtection="1">
      <alignment horizontal="center"/>
    </xf>
    <xf numFmtId="0" fontId="127" fillId="0" borderId="0" xfId="4" applyFont="1" applyProtection="1">
      <protection locked="0"/>
    </xf>
    <xf numFmtId="0" fontId="127" fillId="0" borderId="0" xfId="4" applyFont="1"/>
    <xf numFmtId="0" fontId="127" fillId="0" borderId="0" xfId="4" applyFont="1" applyAlignment="1" applyProtection="1">
      <alignment horizontal="center"/>
      <protection locked="0"/>
    </xf>
    <xf numFmtId="4" fontId="127" fillId="0" borderId="0" xfId="3" applyFont="1" applyProtection="1">
      <protection locked="0"/>
    </xf>
    <xf numFmtId="0" fontId="154" fillId="0" borderId="0" xfId="4" applyFont="1" applyProtection="1"/>
    <xf numFmtId="0" fontId="127" fillId="0" borderId="0" xfId="4" applyFont="1" applyAlignment="1">
      <alignment horizontal="center"/>
    </xf>
    <xf numFmtId="0" fontId="127" fillId="0" borderId="0" xfId="4" applyFont="1" applyAlignment="1" applyProtection="1">
      <alignment horizontal="right"/>
    </xf>
    <xf numFmtId="0" fontId="158" fillId="0" borderId="0" xfId="0" applyFont="1" applyProtection="1"/>
    <xf numFmtId="0" fontId="127" fillId="0" borderId="0" xfId="4" applyFont="1" applyProtection="1"/>
    <xf numFmtId="191" fontId="127" fillId="0" borderId="0" xfId="0" applyNumberFormat="1" applyFont="1" applyBorder="1" applyAlignment="1" applyProtection="1"/>
    <xf numFmtId="0" fontId="127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horizontal="center"/>
    </xf>
    <xf numFmtId="0" fontId="127" fillId="0" borderId="0" xfId="0" applyFont="1" applyAlignment="1" applyProtection="1">
      <alignment horizontal="left" vertical="center"/>
    </xf>
    <xf numFmtId="0" fontId="154" fillId="0" borderId="0" xfId="0" applyFont="1" applyAlignment="1" applyProtection="1">
      <alignment horizontal="center" vertical="center"/>
    </xf>
    <xf numFmtId="0" fontId="127" fillId="0" borderId="0" xfId="4" applyFont="1" applyAlignment="1" applyProtection="1">
      <alignment horizontal="center"/>
    </xf>
    <xf numFmtId="4" fontId="127" fillId="0" borderId="0" xfId="3" applyFont="1" applyAlignment="1" applyProtection="1">
      <alignment horizontal="center"/>
    </xf>
    <xf numFmtId="0" fontId="127" fillId="0" borderId="0" xfId="0" applyFont="1" applyFill="1" applyAlignment="1">
      <alignment horizontal="center" vertical="center"/>
    </xf>
    <xf numFmtId="3" fontId="127" fillId="0" borderId="0" xfId="0" applyNumberFormat="1" applyFont="1" applyAlignment="1" applyProtection="1">
      <alignment horizontal="center"/>
    </xf>
    <xf numFmtId="0" fontId="127" fillId="0" borderId="0" xfId="0" applyFont="1" applyFill="1" applyAlignment="1" applyProtection="1">
      <alignment horizontal="left"/>
    </xf>
    <xf numFmtId="2" fontId="147" fillId="0" borderId="94" xfId="0" applyNumberFormat="1" applyFont="1" applyBorder="1"/>
    <xf numFmtId="4" fontId="21" fillId="0" borderId="0" xfId="0" applyNumberFormat="1" applyFont="1" applyFill="1" applyBorder="1" applyAlignment="1">
      <alignment horizontal="left" vertical="center"/>
    </xf>
    <xf numFmtId="41" fontId="127" fillId="0" borderId="94" xfId="0" applyNumberFormat="1" applyFont="1" applyBorder="1"/>
    <xf numFmtId="39" fontId="127" fillId="0" borderId="89" xfId="0" applyNumberFormat="1" applyFont="1" applyBorder="1" applyAlignment="1">
      <alignment horizontal="center"/>
    </xf>
    <xf numFmtId="187" fontId="127" fillId="0" borderId="94" xfId="0" applyNumberFormat="1" applyFont="1" applyBorder="1"/>
    <xf numFmtId="187" fontId="127" fillId="0" borderId="90" xfId="0" applyNumberFormat="1" applyFont="1" applyBorder="1"/>
    <xf numFmtId="43" fontId="127" fillId="0" borderId="94" xfId="0" applyNumberFormat="1" applyFont="1" applyBorder="1"/>
    <xf numFmtId="202" fontId="127" fillId="0" borderId="88" xfId="0" applyNumberFormat="1" applyFont="1" applyBorder="1"/>
    <xf numFmtId="43" fontId="127" fillId="0" borderId="88" xfId="0" applyNumberFormat="1" applyFont="1" applyBorder="1"/>
    <xf numFmtId="41" fontId="127" fillId="0" borderId="94" xfId="0" applyNumberFormat="1" applyFont="1" applyBorder="1" applyAlignment="1">
      <alignment horizontal="right"/>
    </xf>
    <xf numFmtId="0" fontId="160" fillId="0" borderId="88" xfId="0" applyFont="1" applyBorder="1" applyAlignment="1">
      <alignment vertical="top"/>
    </xf>
    <xf numFmtId="39" fontId="160" fillId="0" borderId="89" xfId="0" applyNumberFormat="1" applyFont="1" applyBorder="1" applyAlignment="1">
      <alignment horizontal="left" vertical="top"/>
    </xf>
    <xf numFmtId="0" fontId="127" fillId="10" borderId="94" xfId="0" applyFont="1" applyFill="1" applyBorder="1" applyAlignment="1">
      <alignment horizontal="center"/>
    </xf>
    <xf numFmtId="39" fontId="127" fillId="0" borderId="89" xfId="0" applyNumberFormat="1" applyFont="1" applyBorder="1" applyAlignment="1">
      <alignment horizontal="center" vertical="center"/>
    </xf>
    <xf numFmtId="187" fontId="127" fillId="0" borderId="94" xfId="0" applyNumberFormat="1" applyFont="1" applyBorder="1" applyAlignment="1">
      <alignment vertical="center"/>
    </xf>
    <xf numFmtId="43" fontId="127" fillId="0" borderId="94" xfId="0" applyNumberFormat="1" applyFont="1" applyBorder="1" applyAlignment="1">
      <alignment vertical="center"/>
    </xf>
    <xf numFmtId="202" fontId="127" fillId="0" borderId="88" xfId="0" applyNumberFormat="1" applyFont="1" applyBorder="1" applyAlignment="1">
      <alignment vertical="center"/>
    </xf>
    <xf numFmtId="43" fontId="127" fillId="0" borderId="88" xfId="0" applyNumberFormat="1" applyFont="1" applyBorder="1" applyAlignment="1">
      <alignment vertical="center"/>
    </xf>
    <xf numFmtId="0" fontId="127" fillId="0" borderId="94" xfId="0" applyFont="1" applyBorder="1" applyAlignment="1">
      <alignment horizontal="center"/>
    </xf>
    <xf numFmtId="0" fontId="160" fillId="0" borderId="94" xfId="0" applyFont="1" applyBorder="1" applyAlignment="1">
      <alignment vertical="top"/>
    </xf>
    <xf numFmtId="2" fontId="127" fillId="10" borderId="94" xfId="0" applyNumberFormat="1" applyFont="1" applyFill="1" applyBorder="1" applyAlignment="1">
      <alignment horizontal="center"/>
    </xf>
    <xf numFmtId="39" fontId="21" fillId="0" borderId="89" xfId="0" applyNumberFormat="1" applyFont="1" applyBorder="1" applyAlignment="1">
      <alignment horizontal="center" vertical="center"/>
    </xf>
    <xf numFmtId="39" fontId="127" fillId="0" borderId="89" xfId="0" applyNumberFormat="1" applyFont="1" applyBorder="1" applyAlignment="1">
      <alignment horizontal="left"/>
    </xf>
    <xf numFmtId="0" fontId="127" fillId="0" borderId="89" xfId="0" applyFont="1" applyBorder="1"/>
    <xf numFmtId="0" fontId="127" fillId="0" borderId="101" xfId="0" applyFont="1" applyBorder="1"/>
    <xf numFmtId="39" fontId="154" fillId="0" borderId="102" xfId="0" applyNumberFormat="1" applyFont="1" applyBorder="1" applyAlignment="1">
      <alignment vertical="center"/>
    </xf>
    <xf numFmtId="41" fontId="127" fillId="0" borderId="99" xfId="0" applyNumberFormat="1" applyFont="1" applyBorder="1"/>
    <xf numFmtId="39" fontId="127" fillId="0" borderId="101" xfId="0" applyNumberFormat="1" applyFont="1" applyBorder="1" applyAlignment="1">
      <alignment horizontal="center"/>
    </xf>
    <xf numFmtId="187" fontId="127" fillId="0" borderId="99" xfId="0" applyNumberFormat="1" applyFont="1" applyBorder="1"/>
    <xf numFmtId="187" fontId="127" fillId="0" borderId="102" xfId="0" applyNumberFormat="1" applyFont="1" applyBorder="1"/>
    <xf numFmtId="43" fontId="154" fillId="0" borderId="99" xfId="0" applyNumberFormat="1" applyFont="1" applyBorder="1"/>
    <xf numFmtId="202" fontId="127" fillId="0" borderId="100" xfId="0" applyNumberFormat="1" applyFont="1" applyBorder="1"/>
    <xf numFmtId="43" fontId="127" fillId="0" borderId="100" xfId="0" applyNumberFormat="1" applyFont="1" applyBorder="1"/>
    <xf numFmtId="43" fontId="162" fillId="0" borderId="94" xfId="1" applyFont="1" applyBorder="1" applyAlignment="1">
      <alignment vertical="center"/>
    </xf>
    <xf numFmtId="43" fontId="162" fillId="0" borderId="97" xfId="1" applyFont="1" applyBorder="1" applyAlignment="1">
      <alignment vertical="center"/>
    </xf>
    <xf numFmtId="0" fontId="33" fillId="0" borderId="0" xfId="0" applyFont="1" applyAlignment="1" applyProtection="1">
      <alignment vertical="center"/>
    </xf>
    <xf numFmtId="39" fontId="39" fillId="10" borderId="0" xfId="0" applyNumberFormat="1" applyFont="1" applyFill="1" applyBorder="1" applyAlignment="1" applyProtection="1">
      <alignment horizontal="center" vertical="center"/>
    </xf>
    <xf numFmtId="43" fontId="147" fillId="0" borderId="94" xfId="1" applyFont="1" applyBorder="1"/>
    <xf numFmtId="199" fontId="147" fillId="0" borderId="94" xfId="1" applyNumberFormat="1" applyFont="1" applyBorder="1"/>
    <xf numFmtId="43" fontId="147" fillId="0" borderId="86" xfId="1" applyFont="1" applyBorder="1"/>
    <xf numFmtId="0" fontId="142" fillId="0" borderId="9" xfId="0" applyFont="1" applyBorder="1" applyAlignment="1">
      <alignment horizontal="center" wrapText="1"/>
    </xf>
    <xf numFmtId="0" fontId="142" fillId="0" borderId="94" xfId="0" applyFont="1" applyBorder="1"/>
    <xf numFmtId="0" fontId="21" fillId="0" borderId="0" xfId="0" applyFont="1" applyAlignment="1" applyProtection="1">
      <alignment vertical="center"/>
    </xf>
    <xf numFmtId="0" fontId="25" fillId="0" borderId="0" xfId="0" applyFont="1" applyAlignment="1" applyProtection="1">
      <alignment vertical="center"/>
    </xf>
    <xf numFmtId="4" fontId="127" fillId="0" borderId="0" xfId="3" applyFont="1" applyAlignment="1" applyProtection="1">
      <alignment horizontal="center"/>
    </xf>
    <xf numFmtId="0" fontId="127" fillId="0" borderId="0" xfId="0" applyFont="1" applyFill="1" applyAlignment="1">
      <alignment horizontal="center" vertical="center"/>
    </xf>
    <xf numFmtId="2" fontId="7" fillId="0" borderId="28" xfId="0" applyNumberFormat="1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center"/>
    </xf>
    <xf numFmtId="2" fontId="7" fillId="0" borderId="13" xfId="0" applyNumberFormat="1" applyFont="1" applyFill="1" applyBorder="1" applyAlignment="1">
      <alignment horizontal="center"/>
    </xf>
    <xf numFmtId="0" fontId="7" fillId="18" borderId="28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14" fillId="12" borderId="66" xfId="0" applyFont="1" applyFill="1" applyBorder="1" applyAlignment="1" applyProtection="1">
      <alignment horizontal="center"/>
    </xf>
    <xf numFmtId="0" fontId="14" fillId="12" borderId="67" xfId="0" applyFont="1" applyFill="1" applyBorder="1" applyAlignment="1" applyProtection="1">
      <alignment horizontal="center"/>
    </xf>
    <xf numFmtId="0" fontId="7" fillId="0" borderId="28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18" borderId="29" xfId="0" applyFont="1" applyFill="1" applyBorder="1" applyAlignment="1">
      <alignment horizontal="center"/>
    </xf>
    <xf numFmtId="0" fontId="7" fillId="18" borderId="12" xfId="0" applyFont="1" applyFill="1" applyBorder="1" applyAlignment="1">
      <alignment horizontal="center"/>
    </xf>
    <xf numFmtId="0" fontId="25" fillId="0" borderId="0" xfId="0" applyFont="1" applyFill="1" applyAlignment="1" applyProtection="1">
      <alignment horizontal="center"/>
    </xf>
    <xf numFmtId="0" fontId="25" fillId="0" borderId="0" xfId="0" applyFont="1" applyFill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/>
    </xf>
    <xf numFmtId="0" fontId="21" fillId="0" borderId="0" xfId="0" applyFont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1" fillId="0" borderId="0" xfId="0" applyFont="1" applyAlignment="1" applyProtection="1">
      <alignment horizontal="left" vertical="center"/>
    </xf>
    <xf numFmtId="49" fontId="22" fillId="10" borderId="0" xfId="0" applyNumberFormat="1" applyFont="1" applyFill="1" applyAlignment="1" applyProtection="1">
      <alignment horizontal="left"/>
    </xf>
    <xf numFmtId="0" fontId="25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58" fillId="16" borderId="28" xfId="0" applyFont="1" applyFill="1" applyBorder="1" applyAlignment="1">
      <alignment horizontal="center" vertical="center"/>
    </xf>
    <xf numFmtId="0" fontId="58" fillId="16" borderId="13" xfId="0" applyFont="1" applyFill="1" applyBorder="1" applyAlignment="1">
      <alignment horizontal="center" vertical="center"/>
    </xf>
    <xf numFmtId="0" fontId="58" fillId="16" borderId="12" xfId="0" applyFont="1" applyFill="1" applyBorder="1" applyAlignment="1">
      <alignment horizontal="center" vertical="center"/>
    </xf>
    <xf numFmtId="0" fontId="67" fillId="0" borderId="53" xfId="4" applyFont="1" applyBorder="1" applyAlignment="1" applyProtection="1">
      <alignment horizontal="center"/>
    </xf>
    <xf numFmtId="0" fontId="67" fillId="0" borderId="55" xfId="4" applyFont="1" applyBorder="1" applyAlignment="1" applyProtection="1">
      <alignment horizontal="center"/>
    </xf>
    <xf numFmtId="0" fontId="67" fillId="0" borderId="5" xfId="4" applyFont="1" applyBorder="1" applyAlignment="1" applyProtection="1">
      <alignment horizontal="center"/>
    </xf>
    <xf numFmtId="0" fontId="67" fillId="14" borderId="53" xfId="4" applyFont="1" applyFill="1" applyBorder="1" applyAlignment="1" applyProtection="1">
      <alignment horizontal="center"/>
    </xf>
    <xf numFmtId="0" fontId="67" fillId="14" borderId="55" xfId="4" applyFont="1" applyFill="1" applyBorder="1" applyAlignment="1" applyProtection="1">
      <alignment horizontal="center"/>
    </xf>
    <xf numFmtId="0" fontId="67" fillId="14" borderId="5" xfId="4" applyFont="1" applyFill="1" applyBorder="1" applyAlignment="1" applyProtection="1">
      <alignment horizontal="center"/>
    </xf>
    <xf numFmtId="0" fontId="69" fillId="0" borderId="0" xfId="4" applyFont="1" applyBorder="1" applyAlignment="1" applyProtection="1">
      <alignment horizontal="center"/>
    </xf>
    <xf numFmtId="0" fontId="69" fillId="0" borderId="70" xfId="4" applyFont="1" applyBorder="1" applyAlignment="1" applyProtection="1">
      <alignment horizontal="center"/>
    </xf>
    <xf numFmtId="0" fontId="69" fillId="14" borderId="70" xfId="4" applyFont="1" applyFill="1" applyBorder="1" applyAlignment="1" applyProtection="1">
      <alignment horizontal="center"/>
    </xf>
    <xf numFmtId="0" fontId="69" fillId="14" borderId="0" xfId="4" applyFont="1" applyFill="1" applyBorder="1" applyAlignment="1" applyProtection="1">
      <alignment horizontal="center"/>
    </xf>
    <xf numFmtId="0" fontId="154" fillId="0" borderId="0" xfId="0" applyFont="1" applyAlignment="1" applyProtection="1">
      <alignment horizontal="center" vertical="center"/>
    </xf>
    <xf numFmtId="0" fontId="154" fillId="0" borderId="10" xfId="0" applyFont="1" applyBorder="1" applyAlignment="1" applyProtection="1">
      <alignment horizontal="center" vertical="center"/>
    </xf>
    <xf numFmtId="0" fontId="154" fillId="0" borderId="15" xfId="0" applyFont="1" applyBorder="1" applyAlignment="1" applyProtection="1">
      <alignment horizontal="center" vertical="center"/>
    </xf>
    <xf numFmtId="0" fontId="154" fillId="0" borderId="25" xfId="0" applyFont="1" applyBorder="1" applyAlignment="1" applyProtection="1">
      <alignment horizontal="center" vertical="center"/>
    </xf>
    <xf numFmtId="0" fontId="154" fillId="0" borderId="11" xfId="0" applyFont="1" applyBorder="1" applyAlignment="1" applyProtection="1">
      <alignment horizontal="center" vertical="center"/>
    </xf>
    <xf numFmtId="0" fontId="154" fillId="0" borderId="26" xfId="0" applyFont="1" applyBorder="1" applyAlignment="1" applyProtection="1">
      <alignment horizontal="center" vertical="center"/>
    </xf>
    <xf numFmtId="0" fontId="154" fillId="0" borderId="14" xfId="0" applyFont="1" applyBorder="1" applyAlignment="1" applyProtection="1">
      <alignment horizontal="center" vertical="center"/>
    </xf>
    <xf numFmtId="0" fontId="154" fillId="0" borderId="28" xfId="0" applyFont="1" applyBorder="1" applyAlignment="1" applyProtection="1">
      <alignment horizontal="center" vertical="center"/>
    </xf>
    <xf numFmtId="0" fontId="154" fillId="0" borderId="13" xfId="0" applyFont="1" applyBorder="1" applyAlignment="1" applyProtection="1">
      <alignment horizontal="center" vertical="center"/>
    </xf>
    <xf numFmtId="0" fontId="154" fillId="0" borderId="12" xfId="0" applyFont="1" applyBorder="1" applyAlignment="1" applyProtection="1">
      <alignment horizontal="center" vertical="center"/>
    </xf>
    <xf numFmtId="0" fontId="154" fillId="0" borderId="16" xfId="0" applyFont="1" applyBorder="1" applyAlignment="1" applyProtection="1">
      <alignment horizontal="center" vertical="center"/>
    </xf>
    <xf numFmtId="0" fontId="127" fillId="0" borderId="0" xfId="0" applyFont="1" applyAlignment="1" applyProtection="1">
      <alignment horizontal="left" vertical="center"/>
    </xf>
    <xf numFmtId="4" fontId="127" fillId="0" borderId="0" xfId="3" applyFont="1" applyAlignment="1" applyProtection="1">
      <alignment horizontal="center"/>
    </xf>
    <xf numFmtId="0" fontId="127" fillId="0" borderId="0" xfId="4" applyFont="1" applyAlignment="1" applyProtection="1">
      <alignment horizontal="center"/>
    </xf>
    <xf numFmtId="0" fontId="155" fillId="0" borderId="88" xfId="0" applyFont="1" applyBorder="1" applyAlignment="1">
      <alignment horizontal="left"/>
    </xf>
    <xf numFmtId="0" fontId="155" fillId="0" borderId="90" xfId="0" applyFont="1" applyBorder="1" applyAlignment="1">
      <alignment horizontal="left"/>
    </xf>
    <xf numFmtId="0" fontId="160" fillId="0" borderId="88" xfId="0" applyFont="1" applyBorder="1" applyAlignment="1">
      <alignment horizontal="left" vertical="top" shrinkToFit="1"/>
    </xf>
    <xf numFmtId="0" fontId="160" fillId="0" borderId="90" xfId="0" applyFont="1" applyBorder="1" applyAlignment="1">
      <alignment horizontal="left" vertical="top" shrinkToFit="1"/>
    </xf>
    <xf numFmtId="39" fontId="127" fillId="0" borderId="88" xfId="0" applyNumberFormat="1" applyFont="1" applyFill="1" applyBorder="1" applyAlignment="1" applyProtection="1">
      <alignment horizontal="left"/>
    </xf>
    <xf numFmtId="39" fontId="127" fillId="0" borderId="90" xfId="0" applyNumberFormat="1" applyFont="1" applyFill="1" applyBorder="1" applyAlignment="1" applyProtection="1">
      <alignment horizontal="left"/>
    </xf>
    <xf numFmtId="0" fontId="156" fillId="0" borderId="88" xfId="0" applyFont="1" applyBorder="1" applyAlignment="1" applyProtection="1">
      <alignment horizontal="center"/>
    </xf>
    <xf numFmtId="0" fontId="156" fillId="0" borderId="90" xfId="0" applyFont="1" applyBorder="1" applyAlignment="1" applyProtection="1">
      <alignment horizontal="center"/>
    </xf>
    <xf numFmtId="0" fontId="155" fillId="0" borderId="86" xfId="0" applyFont="1" applyBorder="1" applyAlignment="1" applyProtection="1">
      <alignment horizontal="left"/>
    </xf>
    <xf numFmtId="0" fontId="127" fillId="0" borderId="88" xfId="0" applyFont="1" applyBorder="1" applyProtection="1"/>
    <xf numFmtId="0" fontId="127" fillId="0" borderId="90" xfId="0" applyFont="1" applyBorder="1" applyProtection="1"/>
    <xf numFmtId="0" fontId="127" fillId="0" borderId="88" xfId="0" applyFont="1" applyBorder="1" applyAlignment="1" applyProtection="1">
      <alignment horizontal="center"/>
    </xf>
    <xf numFmtId="0" fontId="127" fillId="0" borderId="90" xfId="0" applyFont="1" applyBorder="1" applyAlignment="1" applyProtection="1">
      <alignment horizontal="center"/>
    </xf>
    <xf numFmtId="0" fontId="154" fillId="0" borderId="88" xfId="0" applyFont="1" applyBorder="1" applyProtection="1"/>
    <xf numFmtId="0" fontId="154" fillId="0" borderId="90" xfId="0" applyFont="1" applyBorder="1" applyProtection="1"/>
    <xf numFmtId="0" fontId="127" fillId="10" borderId="88" xfId="0" applyFont="1" applyFill="1" applyBorder="1" applyAlignment="1" applyProtection="1">
      <alignment horizontal="center"/>
    </xf>
    <xf numFmtId="0" fontId="127" fillId="10" borderId="90" xfId="0" applyFont="1" applyFill="1" applyBorder="1" applyAlignment="1" applyProtection="1">
      <alignment horizontal="center"/>
    </xf>
    <xf numFmtId="0" fontId="154" fillId="0" borderId="0" xfId="0" applyFont="1" applyAlignment="1" applyProtection="1">
      <alignment horizontal="left" vertical="center"/>
    </xf>
    <xf numFmtId="2" fontId="38" fillId="0" borderId="0" xfId="5" applyNumberFormat="1" applyFont="1" applyFill="1" applyBorder="1" applyAlignment="1">
      <alignment horizontal="center" vertical="center"/>
    </xf>
    <xf numFmtId="0" fontId="21" fillId="0" borderId="28" xfId="5" applyFont="1" applyFill="1" applyBorder="1" applyAlignment="1">
      <alignment horizontal="center" vertical="center"/>
    </xf>
    <xf numFmtId="0" fontId="21" fillId="0" borderId="12" xfId="5" applyFont="1" applyFill="1" applyBorder="1" applyAlignment="1">
      <alignment horizontal="center" vertical="center"/>
    </xf>
    <xf numFmtId="0" fontId="21" fillId="0" borderId="70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1" fillId="0" borderId="17" xfId="5" applyFont="1" applyFill="1" applyBorder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 vertical="center"/>
    </xf>
    <xf numFmtId="0" fontId="21" fillId="0" borderId="26" xfId="5" applyFont="1" applyFill="1" applyBorder="1" applyAlignment="1">
      <alignment horizontal="center" vertical="center"/>
    </xf>
    <xf numFmtId="0" fontId="21" fillId="0" borderId="14" xfId="5" applyFont="1" applyFill="1" applyBorder="1" applyAlignment="1">
      <alignment horizontal="center" vertical="center"/>
    </xf>
    <xf numFmtId="39" fontId="21" fillId="0" borderId="83" xfId="9" applyNumberFormat="1" applyFont="1" applyBorder="1" applyAlignment="1" applyProtection="1">
      <alignment horizontal="left" shrinkToFit="1"/>
    </xf>
    <xf numFmtId="39" fontId="21" fillId="0" borderId="84" xfId="9" applyNumberFormat="1" applyFont="1" applyBorder="1" applyAlignment="1" applyProtection="1">
      <alignment horizontal="left" shrinkToFit="1"/>
    </xf>
    <xf numFmtId="39" fontId="21" fillId="0" borderId="85" xfId="9" applyNumberFormat="1" applyFont="1" applyBorder="1" applyAlignment="1" applyProtection="1">
      <alignment horizontal="left" shrinkToFit="1"/>
    </xf>
    <xf numFmtId="189" fontId="46" fillId="0" borderId="0" xfId="5" applyNumberFormat="1" applyFont="1" applyBorder="1" applyAlignment="1">
      <alignment horizontal="left" vertical="center"/>
    </xf>
    <xf numFmtId="0" fontId="46" fillId="0" borderId="0" xfId="5" applyFont="1" applyBorder="1" applyAlignment="1">
      <alignment horizontal="center" vertical="center"/>
    </xf>
    <xf numFmtId="191" fontId="46" fillId="0" borderId="0" xfId="5" applyNumberFormat="1" applyFont="1" applyFill="1" applyBorder="1" applyAlignment="1">
      <alignment horizontal="center" vertical="center"/>
    </xf>
    <xf numFmtId="49" fontId="21" fillId="0" borderId="75" xfId="5" applyNumberFormat="1" applyFont="1" applyFill="1" applyBorder="1" applyAlignment="1">
      <alignment horizontal="center" vertical="center"/>
    </xf>
    <xf numFmtId="49" fontId="21" fillId="0" borderId="76" xfId="5" applyNumberFormat="1" applyFont="1" applyFill="1" applyBorder="1" applyAlignment="1">
      <alignment horizontal="center" vertical="center"/>
    </xf>
    <xf numFmtId="0" fontId="21" fillId="0" borderId="77" xfId="5" applyFont="1" applyFill="1" applyBorder="1" applyAlignment="1">
      <alignment horizontal="center" vertical="center"/>
    </xf>
    <xf numFmtId="0" fontId="21" fillId="0" borderId="78" xfId="5" applyFont="1" applyFill="1" applyBorder="1" applyAlignment="1">
      <alignment horizontal="center" vertical="center"/>
    </xf>
    <xf numFmtId="0" fontId="21" fillId="0" borderId="76" xfId="5" applyFont="1" applyFill="1" applyBorder="1" applyAlignment="1">
      <alignment horizontal="center" vertical="center"/>
    </xf>
    <xf numFmtId="0" fontId="25" fillId="0" borderId="88" xfId="9" applyFont="1" applyBorder="1" applyAlignment="1" applyProtection="1">
      <alignment horizontal="left"/>
    </xf>
    <xf numFmtId="0" fontId="25" fillId="0" borderId="89" xfId="9" applyFont="1" applyBorder="1" applyAlignment="1" applyProtection="1">
      <alignment horizontal="left"/>
    </xf>
    <xf numFmtId="0" fontId="25" fillId="0" borderId="90" xfId="9" applyFont="1" applyBorder="1" applyAlignment="1" applyProtection="1">
      <alignment horizontal="left"/>
    </xf>
    <xf numFmtId="206" fontId="21" fillId="0" borderId="77" xfId="5" applyNumberFormat="1" applyFont="1" applyFill="1" applyBorder="1" applyAlignment="1">
      <alignment horizontal="center" vertical="center"/>
    </xf>
    <xf numFmtId="206" fontId="21" fillId="0" borderId="76" xfId="5" applyNumberFormat="1" applyFont="1" applyFill="1" applyBorder="1" applyAlignment="1">
      <alignment horizontal="center" vertical="center"/>
    </xf>
    <xf numFmtId="0" fontId="46" fillId="0" borderId="70" xfId="5" applyFont="1" applyFill="1" applyBorder="1" applyAlignment="1">
      <alignment horizontal="center" vertical="center"/>
    </xf>
    <xf numFmtId="0" fontId="46" fillId="0" borderId="0" xfId="5" applyFont="1" applyFill="1" applyBorder="1" applyAlignment="1">
      <alignment horizontal="center" vertical="center"/>
    </xf>
    <xf numFmtId="0" fontId="46" fillId="0" borderId="62" xfId="5" applyFont="1" applyFill="1" applyBorder="1" applyAlignment="1">
      <alignment horizontal="center" vertical="center"/>
    </xf>
    <xf numFmtId="0" fontId="25" fillId="0" borderId="88" xfId="9" applyFont="1" applyBorder="1" applyAlignment="1" applyProtection="1"/>
    <xf numFmtId="0" fontId="25" fillId="0" borderId="89" xfId="9" applyFont="1" applyBorder="1" applyAlignment="1" applyProtection="1"/>
    <xf numFmtId="0" fontId="25" fillId="0" borderId="90" xfId="9" applyFont="1" applyBorder="1" applyAlignment="1" applyProtection="1"/>
    <xf numFmtId="39" fontId="33" fillId="0" borderId="88" xfId="9" applyNumberFormat="1" applyFont="1" applyBorder="1" applyAlignment="1" applyProtection="1">
      <alignment horizontal="left" shrinkToFit="1"/>
    </xf>
    <xf numFmtId="39" fontId="33" fillId="0" borderId="89" xfId="9" applyNumberFormat="1" applyFont="1" applyBorder="1" applyAlignment="1" applyProtection="1">
      <alignment horizontal="left" shrinkToFit="1"/>
    </xf>
    <xf numFmtId="0" fontId="21" fillId="0" borderId="76" xfId="5" applyNumberFormat="1" applyFont="1" applyFill="1" applyBorder="1" applyAlignment="1">
      <alignment horizontal="center" vertical="center"/>
    </xf>
    <xf numFmtId="0" fontId="21" fillId="0" borderId="88" xfId="5" applyFont="1" applyBorder="1" applyProtection="1"/>
    <xf numFmtId="0" fontId="21" fillId="0" borderId="89" xfId="5" applyFont="1" applyBorder="1" applyProtection="1"/>
    <xf numFmtId="0" fontId="47" fillId="0" borderId="53" xfId="5" applyFont="1" applyFill="1" applyBorder="1" applyAlignment="1">
      <alignment horizontal="center" vertical="center"/>
    </xf>
    <xf numFmtId="0" fontId="47" fillId="0" borderId="55" xfId="5" applyFont="1" applyFill="1" applyBorder="1" applyAlignment="1">
      <alignment horizontal="center" vertical="center"/>
    </xf>
    <xf numFmtId="0" fontId="47" fillId="0" borderId="5" xfId="5" applyFont="1" applyFill="1" applyBorder="1" applyAlignment="1">
      <alignment horizontal="center" vertical="center"/>
    </xf>
    <xf numFmtId="0" fontId="47" fillId="0" borderId="54" xfId="5" applyFont="1" applyFill="1" applyBorder="1" applyAlignment="1">
      <alignment horizontal="center" vertical="center"/>
    </xf>
    <xf numFmtId="0" fontId="47" fillId="0" borderId="51" xfId="5" applyFont="1" applyFill="1" applyBorder="1" applyAlignment="1">
      <alignment horizontal="center" vertical="center"/>
    </xf>
    <xf numFmtId="0" fontId="47" fillId="0" borderId="8" xfId="5" applyFont="1" applyFill="1" applyBorder="1" applyAlignment="1">
      <alignment horizontal="center" vertical="center"/>
    </xf>
    <xf numFmtId="49" fontId="37" fillId="0" borderId="80" xfId="5" applyNumberFormat="1" applyFont="1" applyFill="1" applyBorder="1" applyAlignment="1">
      <alignment horizontal="center" vertical="center"/>
    </xf>
    <xf numFmtId="49" fontId="37" fillId="0" borderId="13" xfId="5" applyNumberFormat="1" applyFont="1" applyFill="1" applyBorder="1" applyAlignment="1">
      <alignment horizontal="center" vertical="center"/>
    </xf>
    <xf numFmtId="49" fontId="37" fillId="0" borderId="12" xfId="5" applyNumberFormat="1" applyFont="1" applyFill="1" applyBorder="1" applyAlignment="1">
      <alignment horizontal="center" vertical="center"/>
    </xf>
    <xf numFmtId="0" fontId="39" fillId="0" borderId="83" xfId="5" applyFont="1" applyFill="1" applyBorder="1" applyAlignment="1"/>
    <xf numFmtId="0" fontId="39" fillId="0" borderId="84" xfId="5" applyFont="1" applyFill="1" applyBorder="1" applyAlignment="1"/>
    <xf numFmtId="0" fontId="39" fillId="0" borderId="85" xfId="5" applyFont="1" applyFill="1" applyBorder="1" applyAlignment="1"/>
    <xf numFmtId="0" fontId="21" fillId="0" borderId="74" xfId="5" applyFont="1" applyFill="1" applyBorder="1" applyAlignment="1">
      <alignment horizontal="center" vertical="center"/>
    </xf>
    <xf numFmtId="0" fontId="21" fillId="0" borderId="29" xfId="5" applyFont="1" applyFill="1" applyBorder="1" applyAlignment="1">
      <alignment horizontal="center" vertical="center"/>
    </xf>
    <xf numFmtId="0" fontId="44" fillId="0" borderId="70" xfId="5" applyFont="1" applyBorder="1" applyAlignment="1">
      <alignment horizontal="center" vertical="center"/>
    </xf>
    <xf numFmtId="0" fontId="44" fillId="0" borderId="0" xfId="5" applyFont="1" applyBorder="1" applyAlignment="1">
      <alignment horizontal="center" vertical="center"/>
    </xf>
    <xf numFmtId="0" fontId="44" fillId="0" borderId="62" xfId="5" applyFont="1" applyBorder="1" applyAlignment="1">
      <alignment horizontal="center" vertical="center"/>
    </xf>
    <xf numFmtId="0" fontId="49" fillId="0" borderId="70" xfId="5" applyFont="1" applyBorder="1" applyAlignment="1">
      <alignment horizontal="center" vertical="center"/>
    </xf>
    <xf numFmtId="0" fontId="49" fillId="0" borderId="0" xfId="5" applyFont="1" applyBorder="1" applyAlignment="1">
      <alignment horizontal="center" vertical="center"/>
    </xf>
    <xf numFmtId="0" fontId="49" fillId="0" borderId="62" xfId="5" applyFont="1" applyBorder="1" applyAlignment="1">
      <alignment horizontal="center" vertical="center"/>
    </xf>
    <xf numFmtId="0" fontId="45" fillId="0" borderId="70" xfId="5" applyFont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45" fillId="0" borderId="62" xfId="5" applyFont="1" applyBorder="1" applyAlignment="1">
      <alignment horizontal="center" vertical="center"/>
    </xf>
    <xf numFmtId="0" fontId="21" fillId="0" borderId="111" xfId="5" applyFont="1" applyFill="1" applyBorder="1" applyAlignment="1">
      <alignment horizontal="center" vertical="center"/>
    </xf>
    <xf numFmtId="0" fontId="21" fillId="0" borderId="4" xfId="5" applyFont="1" applyFill="1" applyBorder="1" applyAlignment="1">
      <alignment horizontal="center" vertical="center"/>
    </xf>
    <xf numFmtId="0" fontId="21" fillId="0" borderId="25" xfId="5" applyFont="1" applyFill="1" applyBorder="1" applyAlignment="1">
      <alignment horizontal="center" vertical="center"/>
    </xf>
    <xf numFmtId="0" fontId="21" fillId="0" borderId="11" xfId="5" applyFont="1" applyFill="1" applyBorder="1" applyAlignment="1">
      <alignment horizontal="center" vertical="center"/>
    </xf>
    <xf numFmtId="0" fontId="25" fillId="0" borderId="0" xfId="5" applyFont="1" applyFill="1" applyBorder="1" applyAlignment="1">
      <alignment horizontal="left" vertical="center" textRotation="119"/>
    </xf>
    <xf numFmtId="0" fontId="25" fillId="0" borderId="0" xfId="5" applyFont="1" applyFill="1" applyBorder="1" applyAlignment="1">
      <alignment horizontal="center" vertical="center"/>
    </xf>
    <xf numFmtId="0" fontId="47" fillId="0" borderId="70" xfId="5" applyFont="1" applyFill="1" applyBorder="1" applyAlignment="1">
      <alignment horizontal="center" vertical="center"/>
    </xf>
    <xf numFmtId="0" fontId="47" fillId="0" borderId="0" xfId="5" applyFont="1" applyFill="1" applyBorder="1" applyAlignment="1">
      <alignment horizontal="center" vertical="center"/>
    </xf>
    <xf numFmtId="0" fontId="47" fillId="0" borderId="62" xfId="5" applyFont="1" applyFill="1" applyBorder="1" applyAlignment="1">
      <alignment horizontal="center" vertical="center"/>
    </xf>
    <xf numFmtId="0" fontId="47" fillId="0" borderId="53" xfId="5" applyFont="1" applyFill="1" applyBorder="1" applyAlignment="1">
      <alignment horizontal="center"/>
    </xf>
    <xf numFmtId="0" fontId="47" fillId="0" borderId="55" xfId="5" applyFont="1" applyFill="1" applyBorder="1" applyAlignment="1">
      <alignment horizontal="center"/>
    </xf>
    <xf numFmtId="0" fontId="47" fillId="0" borderId="5" xfId="5" applyFont="1" applyFill="1" applyBorder="1" applyAlignment="1">
      <alignment horizontal="center"/>
    </xf>
    <xf numFmtId="0" fontId="47" fillId="0" borderId="70" xfId="5" applyFont="1" applyFill="1" applyBorder="1" applyAlignment="1">
      <alignment horizontal="center"/>
    </xf>
    <xf numFmtId="0" fontId="47" fillId="0" borderId="0" xfId="5" applyFont="1" applyFill="1" applyBorder="1" applyAlignment="1">
      <alignment horizontal="center"/>
    </xf>
    <xf numFmtId="0" fontId="47" fillId="0" borderId="62" xfId="5" applyFont="1" applyFill="1" applyBorder="1" applyAlignment="1">
      <alignment horizontal="center"/>
    </xf>
    <xf numFmtId="0" fontId="46" fillId="0" borderId="0" xfId="5" applyFont="1" applyFill="1" applyBorder="1" applyAlignment="1">
      <alignment horizontal="left" vertical="center"/>
    </xf>
    <xf numFmtId="0" fontId="76" fillId="0" borderId="0" xfId="5" applyFont="1" applyFill="1" applyBorder="1" applyAlignment="1">
      <alignment horizontal="center" vertical="center"/>
    </xf>
    <xf numFmtId="205" fontId="21" fillId="0" borderId="0" xfId="5" applyNumberFormat="1" applyFont="1" applyFill="1" applyBorder="1" applyAlignment="1">
      <alignment horizontal="center" vertical="center"/>
    </xf>
    <xf numFmtId="205" fontId="21" fillId="0" borderId="62" xfId="5" applyNumberFormat="1" applyFont="1" applyFill="1" applyBorder="1" applyAlignment="1">
      <alignment horizontal="center" vertical="center"/>
    </xf>
    <xf numFmtId="0" fontId="36" fillId="0" borderId="70" xfId="5" applyFont="1" applyBorder="1" applyAlignment="1">
      <alignment horizontal="center" vertical="center"/>
    </xf>
    <xf numFmtId="0" fontId="36" fillId="0" borderId="0" xfId="5" applyFont="1" applyBorder="1" applyAlignment="1">
      <alignment horizontal="center" vertical="center"/>
    </xf>
    <xf numFmtId="0" fontId="50" fillId="0" borderId="70" xfId="5" applyFont="1" applyBorder="1" applyAlignment="1">
      <alignment horizontal="center"/>
    </xf>
    <xf numFmtId="0" fontId="50" fillId="0" borderId="0" xfId="5" applyFont="1" applyBorder="1" applyAlignment="1">
      <alignment horizontal="center"/>
    </xf>
    <xf numFmtId="189" fontId="49" fillId="0" borderId="0" xfId="5" applyNumberFormat="1" applyFont="1" applyBorder="1" applyAlignment="1">
      <alignment horizontal="center" vertical="center"/>
    </xf>
    <xf numFmtId="0" fontId="26" fillId="0" borderId="28" xfId="5" applyFont="1" applyBorder="1" applyAlignment="1">
      <alignment horizontal="center" vertical="center"/>
    </xf>
    <xf numFmtId="0" fontId="26" fillId="0" borderId="71" xfId="5" applyFont="1" applyBorder="1" applyAlignment="1">
      <alignment horizontal="center" vertical="center"/>
    </xf>
    <xf numFmtId="0" fontId="55" fillId="0" borderId="70" xfId="5" applyFont="1" applyBorder="1" applyAlignment="1">
      <alignment horizontal="center" vertical="center" wrapText="1"/>
    </xf>
    <xf numFmtId="0" fontId="55" fillId="0" borderId="0" xfId="5" applyFont="1" applyBorder="1" applyAlignment="1">
      <alignment horizontal="center" vertical="center" wrapText="1"/>
    </xf>
    <xf numFmtId="0" fontId="36" fillId="0" borderId="0" xfId="5" applyFont="1" applyAlignment="1">
      <alignment horizontal="center" vertical="center"/>
    </xf>
    <xf numFmtId="0" fontId="47" fillId="0" borderId="0" xfId="4" applyFont="1" applyBorder="1" applyAlignment="1">
      <alignment horizontal="right" vertical="center" wrapText="1"/>
    </xf>
    <xf numFmtId="0" fontId="47" fillId="0" borderId="0" xfId="4" applyFont="1" applyBorder="1" applyAlignment="1">
      <alignment horizontal="left" vertical="center" wrapText="1"/>
    </xf>
    <xf numFmtId="0" fontId="47" fillId="0" borderId="0" xfId="5" applyFont="1" applyBorder="1" applyAlignment="1">
      <alignment horizontal="left" vertical="center" wrapText="1"/>
    </xf>
    <xf numFmtId="0" fontId="47" fillId="0" borderId="0" xfId="5" applyFont="1" applyBorder="1" applyAlignment="1">
      <alignment horizontal="right" vertical="center"/>
    </xf>
    <xf numFmtId="0" fontId="49" fillId="0" borderId="0" xfId="5" applyFont="1" applyBorder="1" applyAlignment="1">
      <alignment horizontal="right" vertical="center"/>
    </xf>
    <xf numFmtId="205" fontId="21" fillId="0" borderId="51" xfId="5" applyNumberFormat="1" applyFont="1" applyFill="1" applyBorder="1" applyAlignment="1">
      <alignment horizontal="center" vertical="center"/>
    </xf>
    <xf numFmtId="205" fontId="21" fillId="0" borderId="8" xfId="5" applyNumberFormat="1" applyFont="1" applyFill="1" applyBorder="1" applyAlignment="1">
      <alignment horizontal="center" vertical="center"/>
    </xf>
    <xf numFmtId="205" fontId="21" fillId="0" borderId="27" xfId="5" applyNumberFormat="1" applyFont="1" applyFill="1" applyBorder="1" applyAlignment="1">
      <alignment horizontal="center" vertical="center"/>
    </xf>
    <xf numFmtId="0" fontId="21" fillId="0" borderId="53" xfId="5" applyFont="1" applyFill="1" applyBorder="1" applyAlignment="1">
      <alignment horizontal="center" vertical="center"/>
    </xf>
    <xf numFmtId="0" fontId="21" fillId="0" borderId="55" xfId="5" applyFont="1" applyFill="1" applyBorder="1" applyAlignment="1">
      <alignment horizontal="center" vertical="center"/>
    </xf>
    <xf numFmtId="0" fontId="21" fillId="0" borderId="108" xfId="5" applyFont="1" applyFill="1" applyBorder="1" applyAlignment="1">
      <alignment horizontal="center" vertical="center"/>
    </xf>
    <xf numFmtId="0" fontId="21" fillId="0" borderId="109" xfId="5" applyFont="1" applyFill="1" applyBorder="1" applyAlignment="1">
      <alignment horizontal="center" vertical="center"/>
    </xf>
    <xf numFmtId="205" fontId="21" fillId="0" borderId="25" xfId="5" applyNumberFormat="1" applyFont="1" applyFill="1" applyBorder="1" applyAlignment="1">
      <alignment horizontal="center" vertical="center"/>
    </xf>
    <xf numFmtId="205" fontId="21" fillId="0" borderId="72" xfId="5" applyNumberFormat="1" applyFont="1" applyFill="1" applyBorder="1" applyAlignment="1">
      <alignment horizontal="center" vertical="center"/>
    </xf>
    <xf numFmtId="0" fontId="26" fillId="0" borderId="13" xfId="5" applyFont="1" applyBorder="1" applyAlignment="1">
      <alignment horizontal="center" vertical="center"/>
    </xf>
    <xf numFmtId="0" fontId="26" fillId="0" borderId="12" xfId="5" applyFont="1" applyBorder="1" applyAlignment="1">
      <alignment horizontal="center" vertical="center"/>
    </xf>
    <xf numFmtId="0" fontId="47" fillId="0" borderId="70" xfId="5" applyFont="1" applyBorder="1" applyAlignment="1">
      <alignment horizontal="center" vertical="center"/>
    </xf>
    <xf numFmtId="0" fontId="47" fillId="0" borderId="0" xfId="5" applyFont="1" applyBorder="1" applyAlignment="1">
      <alignment horizontal="center" vertical="center"/>
    </xf>
    <xf numFmtId="205" fontId="21" fillId="0" borderId="26" xfId="5" applyNumberFormat="1" applyFont="1" applyFill="1" applyBorder="1" applyAlignment="1">
      <alignment horizontal="center" vertical="center"/>
    </xf>
    <xf numFmtId="205" fontId="21" fillId="0" borderId="73" xfId="5" applyNumberFormat="1" applyFont="1" applyFill="1" applyBorder="1" applyAlignment="1">
      <alignment horizontal="center" vertical="center"/>
    </xf>
    <xf numFmtId="205" fontId="21" fillId="0" borderId="30" xfId="5" applyNumberFormat="1" applyFont="1" applyFill="1" applyBorder="1" applyAlignment="1">
      <alignment horizontal="center" vertical="center"/>
    </xf>
    <xf numFmtId="0" fontId="127" fillId="0" borderId="0" xfId="0" applyFont="1" applyAlignment="1" applyProtection="1">
      <alignment horizontal="center" vertical="center"/>
    </xf>
    <xf numFmtId="0" fontId="127" fillId="0" borderId="0" xfId="0" applyFont="1" applyBorder="1" applyAlignment="1" applyProtection="1">
      <alignment horizontal="center"/>
    </xf>
    <xf numFmtId="4" fontId="127" fillId="0" borderId="0" xfId="0" applyNumberFormat="1" applyFont="1" applyAlignment="1" applyProtection="1">
      <alignment horizontal="center"/>
    </xf>
    <xf numFmtId="0" fontId="127" fillId="0" borderId="25" xfId="0" applyFont="1" applyBorder="1" applyAlignment="1" applyProtection="1">
      <alignment horizontal="center" vertical="center"/>
    </xf>
    <xf numFmtId="0" fontId="127" fillId="0" borderId="30" xfId="0" applyFont="1" applyBorder="1" applyAlignment="1" applyProtection="1">
      <alignment horizontal="center" vertical="center"/>
    </xf>
    <xf numFmtId="0" fontId="127" fillId="0" borderId="11" xfId="0" applyFont="1" applyBorder="1" applyAlignment="1" applyProtection="1">
      <alignment horizontal="center" vertical="center"/>
    </xf>
    <xf numFmtId="3" fontId="127" fillId="0" borderId="25" xfId="0" applyNumberFormat="1" applyFont="1" applyBorder="1" applyAlignment="1" applyProtection="1">
      <alignment horizontal="center" vertical="center"/>
    </xf>
    <xf numFmtId="3" fontId="127" fillId="0" borderId="11" xfId="0" applyNumberFormat="1" applyFont="1" applyBorder="1" applyAlignment="1" applyProtection="1">
      <alignment horizontal="center" vertical="center"/>
    </xf>
    <xf numFmtId="3" fontId="127" fillId="0" borderId="28" xfId="0" applyNumberFormat="1" applyFont="1" applyBorder="1" applyAlignment="1" applyProtection="1">
      <alignment horizontal="center" vertical="center"/>
    </xf>
    <xf numFmtId="3" fontId="127" fillId="0" borderId="13" xfId="0" applyNumberFormat="1" applyFont="1" applyBorder="1" applyAlignment="1" applyProtection="1">
      <alignment horizontal="center" vertical="center"/>
    </xf>
    <xf numFmtId="3" fontId="127" fillId="0" borderId="12" xfId="0" applyNumberFormat="1" applyFont="1" applyBorder="1" applyAlignment="1" applyProtection="1">
      <alignment horizontal="center" vertical="center"/>
    </xf>
    <xf numFmtId="0" fontId="127" fillId="0" borderId="25" xfId="0" applyFont="1" applyBorder="1" applyAlignment="1" applyProtection="1">
      <alignment horizontal="left"/>
    </xf>
    <xf numFmtId="0" fontId="127" fillId="0" borderId="30" xfId="0" applyFont="1" applyBorder="1" applyAlignment="1" applyProtection="1">
      <alignment horizontal="left"/>
    </xf>
    <xf numFmtId="0" fontId="127" fillId="0" borderId="11" xfId="0" applyFont="1" applyBorder="1" applyAlignment="1" applyProtection="1">
      <alignment horizontal="left"/>
    </xf>
    <xf numFmtId="43" fontId="127" fillId="0" borderId="30" xfId="1" applyFont="1" applyBorder="1" applyAlignment="1" applyProtection="1">
      <alignment horizontal="center"/>
    </xf>
    <xf numFmtId="43" fontId="127" fillId="0" borderId="11" xfId="1" applyFont="1" applyBorder="1" applyAlignment="1" applyProtection="1">
      <alignment horizontal="center"/>
    </xf>
    <xf numFmtId="0" fontId="127" fillId="0" borderId="27" xfId="0" applyFont="1" applyBorder="1" applyAlignment="1" applyProtection="1">
      <alignment horizontal="left" wrapText="1" shrinkToFit="1"/>
    </xf>
    <xf numFmtId="0" fontId="127" fillId="0" borderId="0" xfId="0" applyFont="1" applyBorder="1" applyAlignment="1" applyProtection="1">
      <alignment horizontal="left" wrapText="1" shrinkToFit="1"/>
    </xf>
    <xf numFmtId="0" fontId="127" fillId="0" borderId="17" xfId="0" applyFont="1" applyBorder="1" applyAlignment="1" applyProtection="1">
      <alignment horizontal="left" wrapText="1" shrinkToFit="1"/>
    </xf>
    <xf numFmtId="0" fontId="127" fillId="0" borderId="27" xfId="0" applyFont="1" applyBorder="1" applyAlignment="1" applyProtection="1">
      <alignment horizontal="left"/>
    </xf>
    <xf numFmtId="0" fontId="127" fillId="0" borderId="0" xfId="0" applyFont="1" applyBorder="1" applyAlignment="1" applyProtection="1">
      <alignment horizontal="left"/>
    </xf>
    <xf numFmtId="0" fontId="127" fillId="0" borderId="17" xfId="0" applyFont="1" applyBorder="1" applyAlignment="1" applyProtection="1">
      <alignment horizontal="left"/>
    </xf>
    <xf numFmtId="43" fontId="127" fillId="0" borderId="0" xfId="1" applyFont="1" applyBorder="1" applyAlignment="1" applyProtection="1">
      <alignment horizontal="center"/>
    </xf>
    <xf numFmtId="43" fontId="127" fillId="0" borderId="17" xfId="1" applyFont="1" applyBorder="1" applyAlignment="1" applyProtection="1">
      <alignment horizontal="center"/>
    </xf>
    <xf numFmtId="43" fontId="127" fillId="0" borderId="29" xfId="1" applyFont="1" applyBorder="1" applyAlignment="1" applyProtection="1">
      <alignment horizontal="center"/>
    </xf>
    <xf numFmtId="43" fontId="127" fillId="0" borderId="14" xfId="1" applyFont="1" applyBorder="1" applyAlignment="1" applyProtection="1">
      <alignment horizontal="center"/>
    </xf>
    <xf numFmtId="43" fontId="127" fillId="0" borderId="28" xfId="1" applyFont="1" applyBorder="1" applyAlignment="1" applyProtection="1">
      <alignment horizontal="center"/>
    </xf>
    <xf numFmtId="43" fontId="127" fillId="0" borderId="12" xfId="1" applyFont="1" applyBorder="1" applyAlignment="1" applyProtection="1">
      <alignment horizontal="center"/>
    </xf>
    <xf numFmtId="43" fontId="127" fillId="0" borderId="68" xfId="1" applyFont="1" applyBorder="1" applyAlignment="1" applyProtection="1">
      <alignment horizontal="center"/>
    </xf>
    <xf numFmtId="43" fontId="127" fillId="0" borderId="69" xfId="1" applyFont="1" applyBorder="1" applyAlignment="1" applyProtection="1">
      <alignment horizontal="center"/>
    </xf>
    <xf numFmtId="0" fontId="127" fillId="0" borderId="0" xfId="0" applyFont="1" applyFill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4" fontId="127" fillId="0" borderId="0" xfId="0" applyNumberFormat="1" applyFont="1" applyFill="1" applyAlignment="1">
      <alignment horizontal="center" vertical="center"/>
    </xf>
    <xf numFmtId="4" fontId="127" fillId="0" borderId="0" xfId="0" applyNumberFormat="1" applyFont="1" applyAlignment="1">
      <alignment horizontal="center"/>
    </xf>
    <xf numFmtId="4" fontId="127" fillId="0" borderId="0" xfId="0" applyNumberFormat="1" applyFont="1" applyFill="1" applyBorder="1" applyAlignment="1">
      <alignment horizontal="center" vertical="center"/>
    </xf>
    <xf numFmtId="0" fontId="127" fillId="0" borderId="0" xfId="0" applyFont="1" applyFill="1" applyAlignment="1" applyProtection="1">
      <alignment horizontal="left"/>
    </xf>
    <xf numFmtId="0" fontId="127" fillId="0" borderId="26" xfId="0" applyFont="1" applyBorder="1" applyAlignment="1" applyProtection="1">
      <alignment horizontal="left"/>
    </xf>
    <xf numFmtId="0" fontId="127" fillId="0" borderId="29" xfId="0" applyFont="1" applyBorder="1" applyAlignment="1" applyProtection="1">
      <alignment horizontal="left"/>
    </xf>
    <xf numFmtId="0" fontId="127" fillId="0" borderId="14" xfId="0" applyFont="1" applyBorder="1" applyAlignment="1" applyProtection="1">
      <alignment horizontal="left"/>
    </xf>
    <xf numFmtId="0" fontId="147" fillId="0" borderId="3" xfId="0" applyFont="1" applyBorder="1" applyAlignment="1">
      <alignment horizontal="center" vertical="center"/>
    </xf>
    <xf numFmtId="0" fontId="147" fillId="0" borderId="43" xfId="0" applyFont="1" applyBorder="1" applyAlignment="1">
      <alignment horizontal="center" vertical="center"/>
    </xf>
    <xf numFmtId="0" fontId="147" fillId="0" borderId="9" xfId="0" applyFont="1" applyBorder="1" applyAlignment="1">
      <alignment horizontal="center" vertical="center"/>
    </xf>
    <xf numFmtId="0" fontId="147" fillId="0" borderId="15" xfId="0" applyFont="1" applyBorder="1" applyAlignment="1">
      <alignment horizontal="center" vertical="center"/>
    </xf>
    <xf numFmtId="0" fontId="141" fillId="0" borderId="0" xfId="0" applyFont="1" applyAlignment="1">
      <alignment horizontal="center" vertical="top"/>
    </xf>
    <xf numFmtId="0" fontId="23" fillId="0" borderId="0" xfId="10" applyFont="1" applyBorder="1" applyAlignment="1" applyProtection="1">
      <alignment horizontal="center" vertical="center" shrinkToFit="1"/>
    </xf>
    <xf numFmtId="0" fontId="37" fillId="0" borderId="0" xfId="10" applyFont="1" applyFill="1" applyAlignment="1" applyProtection="1">
      <alignment horizontal="center" vertical="center"/>
    </xf>
    <xf numFmtId="0" fontId="25" fillId="0" borderId="0" xfId="10" applyFont="1" applyFill="1" applyAlignment="1" applyProtection="1">
      <alignment horizontal="center" vertical="center"/>
    </xf>
    <xf numFmtId="206" fontId="27" fillId="0" borderId="0" xfId="10" applyNumberFormat="1" applyFont="1" applyFill="1" applyAlignment="1" applyProtection="1">
      <alignment horizontal="center" vertical="center"/>
    </xf>
    <xf numFmtId="0" fontId="23" fillId="0" borderId="29" xfId="10" applyFont="1" applyBorder="1" applyAlignment="1" applyProtection="1">
      <alignment horizontal="center" vertical="center" shrinkToFit="1"/>
    </xf>
    <xf numFmtId="0" fontId="23" fillId="0" borderId="0" xfId="10" applyFont="1" applyFill="1" applyBorder="1" applyAlignment="1" applyProtection="1">
      <alignment horizontal="left" vertical="center" shrinkToFit="1"/>
    </xf>
    <xf numFmtId="0" fontId="23" fillId="0" borderId="93" xfId="10" applyFont="1" applyFill="1" applyBorder="1" applyAlignment="1" applyProtection="1">
      <alignment horizontal="left" vertical="center" shrinkToFit="1"/>
    </xf>
    <xf numFmtId="0" fontId="78" fillId="12" borderId="27" xfId="10" applyFont="1" applyFill="1" applyBorder="1" applyAlignment="1" applyProtection="1">
      <alignment horizontal="left" vertical="center" shrinkToFit="1"/>
    </xf>
    <xf numFmtId="0" fontId="78" fillId="12" borderId="0" xfId="10" applyFont="1" applyFill="1" applyBorder="1" applyAlignment="1" applyProtection="1">
      <alignment horizontal="left" vertical="center" shrinkToFit="1"/>
    </xf>
    <xf numFmtId="0" fontId="51" fillId="0" borderId="70" xfId="5" applyFont="1" applyFill="1" applyBorder="1" applyAlignment="1">
      <alignment horizontal="center" vertical="center"/>
    </xf>
    <xf numFmtId="0" fontId="51" fillId="0" borderId="0" xfId="5" applyFont="1" applyFill="1" applyBorder="1" applyAlignment="1">
      <alignment horizontal="center" vertical="center"/>
    </xf>
    <xf numFmtId="0" fontId="51" fillId="0" borderId="62" xfId="5" applyFont="1" applyFill="1" applyBorder="1" applyAlignment="1">
      <alignment horizontal="center" vertical="center"/>
    </xf>
    <xf numFmtId="0" fontId="26" fillId="58" borderId="16" xfId="130" applyFont="1" applyFill="1" applyBorder="1" applyAlignment="1">
      <alignment horizontal="center"/>
    </xf>
    <xf numFmtId="0" fontId="53" fillId="0" borderId="0" xfId="133" applyFont="1" applyAlignment="1">
      <alignment horizontal="center"/>
    </xf>
    <xf numFmtId="0" fontId="26" fillId="0" borderId="0" xfId="130" applyFont="1" applyAlignment="1">
      <alignment horizontal="center" vertical="center"/>
    </xf>
    <xf numFmtId="0" fontId="38" fillId="0" borderId="16" xfId="130" applyFont="1" applyBorder="1" applyAlignment="1">
      <alignment horizontal="center"/>
    </xf>
    <xf numFmtId="0" fontId="130" fillId="0" borderId="10" xfId="130" applyFont="1" applyFill="1" applyBorder="1" applyAlignment="1">
      <alignment horizontal="center" vertical="center"/>
    </xf>
    <xf numFmtId="0" fontId="130" fillId="0" borderId="2" xfId="130" applyFont="1" applyFill="1" applyBorder="1" applyAlignment="1">
      <alignment horizontal="center" vertical="center"/>
    </xf>
    <xf numFmtId="0" fontId="130" fillId="0" borderId="15" xfId="130" applyFont="1" applyFill="1" applyBorder="1" applyAlignment="1">
      <alignment horizontal="center" vertical="center"/>
    </xf>
    <xf numFmtId="0" fontId="130" fillId="0" borderId="16" xfId="130" applyFont="1" applyBorder="1" applyAlignment="1">
      <alignment horizontal="center"/>
    </xf>
    <xf numFmtId="0" fontId="134" fillId="0" borderId="16" xfId="133" applyFont="1" applyFill="1" applyBorder="1" applyAlignment="1">
      <alignment horizontal="center" vertical="center"/>
    </xf>
    <xf numFmtId="0" fontId="134" fillId="0" borderId="0" xfId="135" applyFont="1" applyFill="1" applyAlignment="1">
      <alignment horizontal="center" vertical="center"/>
    </xf>
    <xf numFmtId="0" fontId="134" fillId="0" borderId="10" xfId="133" applyFont="1" applyFill="1" applyBorder="1" applyAlignment="1">
      <alignment horizontal="center" vertical="center" wrapText="1"/>
    </xf>
    <xf numFmtId="0" fontId="134" fillId="0" borderId="15" xfId="133" applyFont="1" applyFill="1" applyBorder="1" applyAlignment="1">
      <alignment horizontal="center" vertical="center" wrapText="1"/>
    </xf>
    <xf numFmtId="0" fontId="134" fillId="0" borderId="10" xfId="133" applyFont="1" applyFill="1" applyBorder="1" applyAlignment="1">
      <alignment horizontal="center" vertical="center"/>
    </xf>
    <xf numFmtId="0" fontId="134" fillId="0" borderId="15" xfId="133" applyFont="1" applyFill="1" applyBorder="1" applyAlignment="1">
      <alignment horizontal="center" vertical="center"/>
    </xf>
    <xf numFmtId="0" fontId="134" fillId="0" borderId="13" xfId="133" applyFont="1" applyFill="1" applyBorder="1" applyAlignment="1">
      <alignment horizontal="center"/>
    </xf>
    <xf numFmtId="0" fontId="134" fillId="0" borderId="12" xfId="133" applyFont="1" applyFill="1" applyBorder="1" applyAlignment="1">
      <alignment horizontal="center"/>
    </xf>
    <xf numFmtId="189" fontId="46" fillId="0" borderId="0" xfId="5" applyNumberFormat="1" applyFont="1" applyBorder="1" applyAlignment="1">
      <alignment horizontal="center" vertical="center"/>
    </xf>
    <xf numFmtId="0" fontId="139" fillId="10" borderId="0" xfId="0" applyFont="1" applyFill="1" applyAlignment="1" applyProtection="1">
      <alignment vertical="center"/>
    </xf>
    <xf numFmtId="0" fontId="25" fillId="0" borderId="0" xfId="0" applyFont="1" applyAlignment="1" applyProtection="1">
      <alignment horizontal="center" vertical="center"/>
    </xf>
    <xf numFmtId="0" fontId="147" fillId="0" borderId="0" xfId="0" applyFont="1" applyBorder="1" applyAlignment="1">
      <alignment horizontal="center" vertical="center"/>
    </xf>
    <xf numFmtId="0" fontId="142" fillId="0" borderId="0" xfId="0" applyFont="1" applyBorder="1" applyAlignment="1">
      <alignment horizontal="center" vertical="center"/>
    </xf>
    <xf numFmtId="0" fontId="147" fillId="0" borderId="0" xfId="0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1" fillId="9" borderId="0" xfId="0" applyFont="1" applyFill="1" applyBorder="1" applyAlignment="1" applyProtection="1">
      <alignment horizontal="right" vertical="center"/>
    </xf>
    <xf numFmtId="0" fontId="21" fillId="9" borderId="45" xfId="0" applyFont="1" applyFill="1" applyBorder="1" applyAlignment="1" applyProtection="1">
      <alignment horizontal="center" vertical="center"/>
      <protection hidden="1"/>
    </xf>
    <xf numFmtId="0" fontId="21" fillId="9" borderId="37" xfId="0" applyFont="1" applyFill="1" applyBorder="1" applyAlignment="1" applyProtection="1">
      <alignment horizontal="center" vertical="center"/>
      <protection hidden="1"/>
    </xf>
    <xf numFmtId="0" fontId="21" fillId="9" borderId="37" xfId="0" applyFont="1" applyFill="1" applyBorder="1" applyAlignment="1" applyProtection="1">
      <alignment horizontal="center" vertical="center" wrapText="1"/>
      <protection hidden="1"/>
    </xf>
    <xf numFmtId="0" fontId="21" fillId="9" borderId="48" xfId="0" applyFont="1" applyFill="1" applyBorder="1" applyAlignment="1" applyProtection="1">
      <alignment horizontal="center" vertical="center" wrapText="1"/>
      <protection hidden="1"/>
    </xf>
    <xf numFmtId="0" fontId="21" fillId="9" borderId="91" xfId="0" applyFont="1" applyFill="1" applyBorder="1" applyAlignment="1">
      <alignment vertical="top"/>
    </xf>
    <xf numFmtId="0" fontId="21" fillId="9" borderId="94" xfId="0" applyFont="1" applyFill="1" applyBorder="1" applyAlignment="1">
      <alignment vertical="top"/>
    </xf>
    <xf numFmtId="49" fontId="21" fillId="9" borderId="94" xfId="0" applyNumberFormat="1" applyFont="1" applyFill="1" applyBorder="1" applyAlignment="1">
      <alignment vertical="top"/>
    </xf>
    <xf numFmtId="0" fontId="21" fillId="9" borderId="94" xfId="0" applyFont="1" applyFill="1" applyBorder="1" applyAlignment="1">
      <alignment horizontal="left" vertical="top" wrapText="1"/>
    </xf>
    <xf numFmtId="39" fontId="21" fillId="9" borderId="94" xfId="0" applyNumberFormat="1" applyFont="1" applyFill="1" applyBorder="1" applyAlignment="1">
      <alignment horizontal="left" vertical="top" wrapText="1"/>
    </xf>
    <xf numFmtId="0" fontId="21" fillId="9" borderId="87" xfId="0" applyFont="1" applyFill="1" applyBorder="1" applyAlignment="1">
      <alignment horizontal="center" vertical="top"/>
    </xf>
    <xf numFmtId="0" fontId="21" fillId="9" borderId="95" xfId="0" applyFont="1" applyFill="1" applyBorder="1" applyAlignment="1">
      <alignment horizontal="center" vertical="top"/>
    </xf>
    <xf numFmtId="0" fontId="25" fillId="9" borderId="95" xfId="0" applyFont="1" applyFill="1" applyBorder="1" applyAlignment="1">
      <alignment horizontal="center" vertical="top"/>
    </xf>
    <xf numFmtId="0" fontId="21" fillId="9" borderId="91" xfId="0" applyFont="1" applyFill="1" applyBorder="1" applyAlignment="1">
      <alignment horizontal="center" vertical="top"/>
    </xf>
    <xf numFmtId="2" fontId="21" fillId="9" borderId="94" xfId="0" applyNumberFormat="1" applyFont="1" applyFill="1" applyBorder="1" applyAlignment="1">
      <alignment vertical="top"/>
    </xf>
    <xf numFmtId="43" fontId="21" fillId="9" borderId="94" xfId="0" applyNumberFormat="1" applyFont="1" applyFill="1" applyBorder="1" applyAlignment="1">
      <alignment vertical="top"/>
    </xf>
    <xf numFmtId="188" fontId="21" fillId="9" borderId="91" xfId="0" applyNumberFormat="1" applyFont="1" applyFill="1" applyBorder="1" applyAlignment="1">
      <alignment horizontal="center" vertical="top"/>
    </xf>
    <xf numFmtId="207" fontId="21" fillId="9" borderId="94" xfId="0" applyNumberFormat="1" applyFont="1" applyFill="1" applyBorder="1" applyAlignment="1">
      <alignment vertical="top"/>
    </xf>
    <xf numFmtId="205" fontId="21" fillId="9" borderId="126" xfId="0" applyNumberFormat="1" applyFont="1" applyFill="1" applyBorder="1" applyAlignment="1">
      <alignment horizontal="center" vertical="top"/>
    </xf>
    <xf numFmtId="43" fontId="21" fillId="9" borderId="91" xfId="1" applyFont="1" applyFill="1" applyBorder="1" applyAlignment="1">
      <alignment vertical="top"/>
    </xf>
    <xf numFmtId="43" fontId="21" fillId="9" borderId="91" xfId="0" applyNumberFormat="1" applyFont="1" applyFill="1" applyBorder="1" applyAlignment="1">
      <alignment vertical="top"/>
    </xf>
    <xf numFmtId="207" fontId="21" fillId="9" borderId="91" xfId="0" applyNumberFormat="1" applyFont="1" applyFill="1" applyBorder="1" applyAlignment="1">
      <alignment vertical="top"/>
    </xf>
    <xf numFmtId="0" fontId="21" fillId="9" borderId="94" xfId="0" applyFont="1" applyFill="1" applyBorder="1" applyAlignment="1">
      <alignment horizontal="center" vertical="top"/>
    </xf>
    <xf numFmtId="188" fontId="21" fillId="9" borderId="94" xfId="0" applyNumberFormat="1" applyFont="1" applyFill="1" applyBorder="1" applyAlignment="1">
      <alignment horizontal="center" vertical="top"/>
    </xf>
    <xf numFmtId="0" fontId="21" fillId="0" borderId="94" xfId="0" applyFont="1" applyBorder="1"/>
    <xf numFmtId="0" fontId="21" fillId="0" borderId="126" xfId="0" applyFont="1" applyBorder="1"/>
    <xf numFmtId="3" fontId="21" fillId="9" borderId="94" xfId="0" applyNumberFormat="1" applyFont="1" applyFill="1" applyBorder="1" applyAlignment="1">
      <alignment horizontal="center" vertical="top"/>
    </xf>
    <xf numFmtId="43" fontId="21" fillId="9" borderId="94" xfId="1" applyFont="1" applyFill="1" applyBorder="1" applyAlignment="1">
      <alignment vertical="top"/>
    </xf>
    <xf numFmtId="43" fontId="21" fillId="9" borderId="94" xfId="1" applyFont="1" applyFill="1" applyBorder="1" applyAlignment="1">
      <alignment horizontal="right" vertical="top"/>
    </xf>
    <xf numFmtId="39" fontId="21" fillId="9" borderId="94" xfId="0" applyNumberFormat="1" applyFont="1" applyFill="1" applyBorder="1" applyAlignment="1">
      <alignment horizontal="center" vertical="top"/>
    </xf>
    <xf numFmtId="0" fontId="21" fillId="9" borderId="95" xfId="0" applyNumberFormat="1" applyFont="1" applyFill="1" applyBorder="1" applyAlignment="1">
      <alignment horizontal="center" vertical="top"/>
    </xf>
    <xf numFmtId="0" fontId="21" fillId="9" borderId="0" xfId="0" applyFont="1" applyFill="1" applyBorder="1" applyAlignment="1">
      <alignment horizontal="left" vertical="top"/>
    </xf>
    <xf numFmtId="0" fontId="21" fillId="9" borderId="0" xfId="0" applyFont="1" applyFill="1" applyBorder="1" applyAlignment="1" applyProtection="1">
      <alignment horizontal="center" vertical="top"/>
      <protection hidden="1"/>
    </xf>
    <xf numFmtId="0" fontId="21" fillId="9" borderId="0" xfId="0" applyFont="1" applyFill="1" applyBorder="1" applyAlignment="1" applyProtection="1">
      <alignment horizontal="right" vertical="center"/>
      <protection hidden="1"/>
    </xf>
    <xf numFmtId="43" fontId="21" fillId="9" borderId="16" xfId="1" applyFont="1" applyFill="1" applyBorder="1" applyAlignment="1" applyProtection="1">
      <alignment horizontal="center" vertical="center"/>
      <protection hidden="1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right" vertical="center"/>
    </xf>
    <xf numFmtId="0" fontId="139" fillId="0" borderId="0" xfId="0" applyNumberFormat="1" applyFont="1" applyAlignment="1">
      <alignment vertical="center"/>
    </xf>
    <xf numFmtId="0" fontId="147" fillId="0" borderId="0" xfId="0" applyFont="1" applyAlignment="1">
      <alignment horizontal="left"/>
    </xf>
    <xf numFmtId="188" fontId="139" fillId="0" borderId="16" xfId="0" applyNumberFormat="1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43" fontId="25" fillId="9" borderId="0" xfId="0" applyNumberFormat="1" applyFont="1" applyFill="1" applyBorder="1" applyAlignment="1">
      <alignment horizontal="right" vertical="top"/>
    </xf>
    <xf numFmtId="43" fontId="21" fillId="9" borderId="17" xfId="0" applyNumberFormat="1" applyFont="1" applyFill="1" applyBorder="1" applyAlignment="1">
      <alignment horizontal="right" vertical="top"/>
    </xf>
    <xf numFmtId="43" fontId="25" fillId="61" borderId="128" xfId="1" applyFont="1" applyFill="1" applyBorder="1" applyAlignment="1">
      <alignment horizontal="center" vertical="center"/>
    </xf>
    <xf numFmtId="43" fontId="25" fillId="12" borderId="129" xfId="1" applyFont="1" applyFill="1" applyBorder="1" applyAlignment="1">
      <alignment horizontal="center" vertical="center"/>
    </xf>
    <xf numFmtId="0" fontId="25" fillId="9" borderId="37" xfId="0" applyFont="1" applyFill="1" applyBorder="1" applyAlignment="1">
      <alignment horizontal="center" vertical="top" wrapText="1"/>
    </xf>
    <xf numFmtId="43" fontId="27" fillId="9" borderId="37" xfId="0" applyNumberFormat="1" applyFont="1" applyFill="1" applyBorder="1" applyAlignment="1">
      <alignment vertical="center"/>
    </xf>
    <xf numFmtId="0" fontId="21" fillId="9" borderId="0" xfId="0" applyFont="1" applyFill="1" applyBorder="1" applyAlignment="1" applyProtection="1">
      <alignment vertical="center"/>
    </xf>
  </cellXfs>
  <cellStyles count="159">
    <cellStyle name=",;F'KOIT[[WAAHK" xfId="14" xr:uid="{00000000-0005-0000-0000-000000000000}"/>
    <cellStyle name="?? [0.00]_????" xfId="15" xr:uid="{00000000-0005-0000-0000-000001000000}"/>
    <cellStyle name="?? [0]_PERSONAL" xfId="16" xr:uid="{00000000-0005-0000-0000-000002000000}"/>
    <cellStyle name="???? [0.00]_????" xfId="17" xr:uid="{00000000-0005-0000-0000-000003000000}"/>
    <cellStyle name="??????[0]_PERSONAL" xfId="18" xr:uid="{00000000-0005-0000-0000-000004000000}"/>
    <cellStyle name="??????PERSONAL" xfId="19" xr:uid="{00000000-0005-0000-0000-000005000000}"/>
    <cellStyle name="?????[0]_PERSONAL" xfId="20" xr:uid="{00000000-0005-0000-0000-000006000000}"/>
    <cellStyle name="?????PERSONAL" xfId="21" xr:uid="{00000000-0005-0000-0000-000007000000}"/>
    <cellStyle name="????_????" xfId="22" xr:uid="{00000000-0005-0000-0000-000008000000}"/>
    <cellStyle name="???[0]_PERSONAL" xfId="23" xr:uid="{00000000-0005-0000-0000-000009000000}"/>
    <cellStyle name="???_PERSONAL" xfId="24" xr:uid="{00000000-0005-0000-0000-00000A000000}"/>
    <cellStyle name="??_??" xfId="25" xr:uid="{00000000-0005-0000-0000-00000B000000}"/>
    <cellStyle name="?@??laroux" xfId="26" xr:uid="{00000000-0005-0000-0000-00000C000000}"/>
    <cellStyle name="=C:\WINDOWS\SYSTEM32\COMMAND.COM" xfId="27" xr:uid="{00000000-0005-0000-0000-00000D000000}"/>
    <cellStyle name="20% - ส่วนที่ถูกเน้น1 2" xfId="28" xr:uid="{00000000-0005-0000-0000-00000E000000}"/>
    <cellStyle name="20% - ส่วนที่ถูกเน้น1 2 2" xfId="141" xr:uid="{00000000-0005-0000-0000-00000F000000}"/>
    <cellStyle name="20% - ส่วนที่ถูกเน้น2 2" xfId="29" xr:uid="{00000000-0005-0000-0000-000010000000}"/>
    <cellStyle name="20% - ส่วนที่ถูกเน้น2 2 2" xfId="142" xr:uid="{00000000-0005-0000-0000-000011000000}"/>
    <cellStyle name="20% - ส่วนที่ถูกเน้น3 2" xfId="30" xr:uid="{00000000-0005-0000-0000-000012000000}"/>
    <cellStyle name="20% - ส่วนที่ถูกเน้น3 2 2" xfId="143" xr:uid="{00000000-0005-0000-0000-000013000000}"/>
    <cellStyle name="20% - ส่วนที่ถูกเน้น4 2" xfId="31" xr:uid="{00000000-0005-0000-0000-000014000000}"/>
    <cellStyle name="20% - ส่วนที่ถูกเน้น4 2 2" xfId="144" xr:uid="{00000000-0005-0000-0000-000015000000}"/>
    <cellStyle name="20% - ส่วนที่ถูกเน้น5 2" xfId="32" xr:uid="{00000000-0005-0000-0000-000016000000}"/>
    <cellStyle name="20% - ส่วนที่ถูกเน้น5 2 2" xfId="145" xr:uid="{00000000-0005-0000-0000-000017000000}"/>
    <cellStyle name="20% - ส่วนที่ถูกเน้น6 2" xfId="33" xr:uid="{00000000-0005-0000-0000-000018000000}"/>
    <cellStyle name="20% - ส่วนที่ถูกเน้น6 2 2" xfId="146" xr:uid="{00000000-0005-0000-0000-000019000000}"/>
    <cellStyle name="40% - ส่วนที่ถูกเน้น1 2" xfId="34" xr:uid="{00000000-0005-0000-0000-00001A000000}"/>
    <cellStyle name="40% - ส่วนที่ถูกเน้น1 2 2" xfId="147" xr:uid="{00000000-0005-0000-0000-00001B000000}"/>
    <cellStyle name="40% - ส่วนที่ถูกเน้น2 2" xfId="35" xr:uid="{00000000-0005-0000-0000-00001C000000}"/>
    <cellStyle name="40% - ส่วนที่ถูกเน้น2 2 2" xfId="148" xr:uid="{00000000-0005-0000-0000-00001D000000}"/>
    <cellStyle name="40% - ส่วนที่ถูกเน้น3 2" xfId="36" xr:uid="{00000000-0005-0000-0000-00001E000000}"/>
    <cellStyle name="40% - ส่วนที่ถูกเน้น3 2 2" xfId="149" xr:uid="{00000000-0005-0000-0000-00001F000000}"/>
    <cellStyle name="40% - ส่วนที่ถูกเน้น4 2" xfId="37" xr:uid="{00000000-0005-0000-0000-000020000000}"/>
    <cellStyle name="40% - ส่วนที่ถูกเน้น4 2 2" xfId="150" xr:uid="{00000000-0005-0000-0000-000021000000}"/>
    <cellStyle name="40% - ส่วนที่ถูกเน้น5 2" xfId="38" xr:uid="{00000000-0005-0000-0000-000022000000}"/>
    <cellStyle name="40% - ส่วนที่ถูกเน้น5 2 2" xfId="151" xr:uid="{00000000-0005-0000-0000-000023000000}"/>
    <cellStyle name="40% - ส่วนที่ถูกเน้น6 2" xfId="39" xr:uid="{00000000-0005-0000-0000-000024000000}"/>
    <cellStyle name="40% - ส่วนที่ถูกเน้น6 2 2" xfId="152" xr:uid="{00000000-0005-0000-0000-000025000000}"/>
    <cellStyle name="60% - ส่วนที่ถูกเน้น1 2" xfId="40" xr:uid="{00000000-0005-0000-0000-000026000000}"/>
    <cellStyle name="60% - ส่วนที่ถูกเน้น2 2" xfId="41" xr:uid="{00000000-0005-0000-0000-000027000000}"/>
    <cellStyle name="60% - ส่วนที่ถูกเน้น3 2" xfId="42" xr:uid="{00000000-0005-0000-0000-000028000000}"/>
    <cellStyle name="60% - ส่วนที่ถูกเน้น4 2" xfId="43" xr:uid="{00000000-0005-0000-0000-000029000000}"/>
    <cellStyle name="60% - ส่วนที่ถูกเน้น5 2" xfId="44" xr:uid="{00000000-0005-0000-0000-00002A000000}"/>
    <cellStyle name="60% - ส่วนที่ถูกเน้น6 2" xfId="45" xr:uid="{00000000-0005-0000-0000-00002B000000}"/>
    <cellStyle name="abc" xfId="46" xr:uid="{00000000-0005-0000-0000-00002C000000}"/>
    <cellStyle name="Calc Currency (0)" xfId="47" xr:uid="{00000000-0005-0000-0000-00002D000000}"/>
    <cellStyle name="Calc Currency (2)" xfId="48" xr:uid="{00000000-0005-0000-0000-00002E000000}"/>
    <cellStyle name="Calc Percent (0)" xfId="49" xr:uid="{00000000-0005-0000-0000-00002F000000}"/>
    <cellStyle name="Calc Percent (1)" xfId="50" xr:uid="{00000000-0005-0000-0000-000030000000}"/>
    <cellStyle name="Calc Percent (2)" xfId="51" xr:uid="{00000000-0005-0000-0000-000031000000}"/>
    <cellStyle name="Calc Units (0)" xfId="52" xr:uid="{00000000-0005-0000-0000-000032000000}"/>
    <cellStyle name="Calc Units (1)" xfId="53" xr:uid="{00000000-0005-0000-0000-000033000000}"/>
    <cellStyle name="Calc Units (2)" xfId="54" xr:uid="{00000000-0005-0000-0000-000034000000}"/>
    <cellStyle name="Comma [00]" xfId="55" xr:uid="{00000000-0005-0000-0000-000035000000}"/>
    <cellStyle name="comma zerodec" xfId="56" xr:uid="{00000000-0005-0000-0000-000036000000}"/>
    <cellStyle name="company_title" xfId="57" xr:uid="{00000000-0005-0000-0000-000037000000}"/>
    <cellStyle name="Currency [00]" xfId="58" xr:uid="{00000000-0005-0000-0000-000038000000}"/>
    <cellStyle name="Currency1" xfId="59" xr:uid="{00000000-0005-0000-0000-000039000000}"/>
    <cellStyle name="Date Short" xfId="60" xr:uid="{00000000-0005-0000-0000-00003A000000}"/>
    <cellStyle name="date_format" xfId="61" xr:uid="{00000000-0005-0000-0000-00003B000000}"/>
    <cellStyle name="Dollar (zero dec)" xfId="62" xr:uid="{00000000-0005-0000-0000-00003C000000}"/>
    <cellStyle name="Enter Currency (0)" xfId="63" xr:uid="{00000000-0005-0000-0000-00003D000000}"/>
    <cellStyle name="Enter Currency (2)" xfId="64" xr:uid="{00000000-0005-0000-0000-00003E000000}"/>
    <cellStyle name="Enter Units (0)" xfId="65" xr:uid="{00000000-0005-0000-0000-00003F000000}"/>
    <cellStyle name="Enter Units (1)" xfId="66" xr:uid="{00000000-0005-0000-0000-000040000000}"/>
    <cellStyle name="Enter Units (2)" xfId="67" xr:uid="{00000000-0005-0000-0000-000041000000}"/>
    <cellStyle name="Grey" xfId="68" xr:uid="{00000000-0005-0000-0000-000042000000}"/>
    <cellStyle name="Header1" xfId="69" xr:uid="{00000000-0005-0000-0000-000043000000}"/>
    <cellStyle name="Header2" xfId="70" xr:uid="{00000000-0005-0000-0000-000044000000}"/>
    <cellStyle name="Input [yellow]" xfId="71" xr:uid="{00000000-0005-0000-0000-000045000000}"/>
    <cellStyle name="Link Currency (0)" xfId="72" xr:uid="{00000000-0005-0000-0000-000046000000}"/>
    <cellStyle name="Link Currency (2)" xfId="73" xr:uid="{00000000-0005-0000-0000-000047000000}"/>
    <cellStyle name="Link Units (0)" xfId="74" xr:uid="{00000000-0005-0000-0000-000048000000}"/>
    <cellStyle name="Link Units (1)" xfId="75" xr:uid="{00000000-0005-0000-0000-000049000000}"/>
    <cellStyle name="Link Units (2)" xfId="76" xr:uid="{00000000-0005-0000-0000-00004A000000}"/>
    <cellStyle name="no dec" xfId="77" xr:uid="{00000000-0005-0000-0000-00004B000000}"/>
    <cellStyle name="Normal - Style1" xfId="78" xr:uid="{00000000-0005-0000-0000-00004C000000}"/>
    <cellStyle name="Normal 2" xfId="79" xr:uid="{00000000-0005-0000-0000-00004D000000}"/>
    <cellStyle name="Normal 4" xfId="80" xr:uid="{00000000-0005-0000-0000-00004E000000}"/>
    <cellStyle name="Normal_47อบ.23017" xfId="2" xr:uid="{00000000-0005-0000-0000-00004F000000}"/>
    <cellStyle name="Normal_สรุปผลการประเมินราคา" xfId="3" xr:uid="{00000000-0005-0000-0000-000050000000}"/>
    <cellStyle name="Nor聭al_ภาคกลาง" xfId="81" xr:uid="{00000000-0005-0000-0000-000051000000}"/>
    <cellStyle name="ParaBirimi [0]_RESULTS" xfId="82" xr:uid="{00000000-0005-0000-0000-000052000000}"/>
    <cellStyle name="ParaBirimi_RESULTS" xfId="83" xr:uid="{00000000-0005-0000-0000-000053000000}"/>
    <cellStyle name="Percent [0]" xfId="84" xr:uid="{00000000-0005-0000-0000-000054000000}"/>
    <cellStyle name="Percent [00]" xfId="85" xr:uid="{00000000-0005-0000-0000-000055000000}"/>
    <cellStyle name="Percent [2]" xfId="86" xr:uid="{00000000-0005-0000-0000-000056000000}"/>
    <cellStyle name="PrePop Currency (0)" xfId="87" xr:uid="{00000000-0005-0000-0000-000057000000}"/>
    <cellStyle name="PrePop Currency (2)" xfId="88" xr:uid="{00000000-0005-0000-0000-000058000000}"/>
    <cellStyle name="PrePop Units (0)" xfId="89" xr:uid="{00000000-0005-0000-0000-000059000000}"/>
    <cellStyle name="PrePop Units (1)" xfId="90" xr:uid="{00000000-0005-0000-0000-00005A000000}"/>
    <cellStyle name="PrePop Units (2)" xfId="91" xr:uid="{00000000-0005-0000-0000-00005B000000}"/>
    <cellStyle name="Quantity" xfId="92" xr:uid="{00000000-0005-0000-0000-00005C000000}"/>
    <cellStyle name="report_title" xfId="93" xr:uid="{00000000-0005-0000-0000-00005D000000}"/>
    <cellStyle name="Text Indent A" xfId="94" xr:uid="{00000000-0005-0000-0000-00005E000000}"/>
    <cellStyle name="Text Indent B" xfId="95" xr:uid="{00000000-0005-0000-0000-00005F000000}"/>
    <cellStyle name="Text Indent C" xfId="96" xr:uid="{00000000-0005-0000-0000-000060000000}"/>
    <cellStyle name="Total" xfId="97" xr:uid="{00000000-0005-0000-0000-000061000000}"/>
    <cellStyle name="Virg? [0]_RESULTS" xfId="98" xr:uid="{00000000-0005-0000-0000-000062000000}"/>
    <cellStyle name="Virg?_RESULTS" xfId="99" xr:uid="{00000000-0005-0000-0000-000063000000}"/>
    <cellStyle name="การคำนวณ 2" xfId="100" xr:uid="{00000000-0005-0000-0000-000064000000}"/>
    <cellStyle name="ข้อความเตือน 2" xfId="101" xr:uid="{00000000-0005-0000-0000-000065000000}"/>
    <cellStyle name="ข้อความอธิบาย 2" xfId="102" xr:uid="{00000000-0005-0000-0000-000066000000}"/>
    <cellStyle name="เครื่องหมายจุลภาค 2" xfId="7" xr:uid="{00000000-0005-0000-0000-000068000000}"/>
    <cellStyle name="เครื่องหมายจุลภาค 2 2" xfId="129" xr:uid="{00000000-0005-0000-0000-000069000000}"/>
    <cellStyle name="เครื่องหมายจุลภาค 2 2 2" xfId="157" xr:uid="{00000000-0005-0000-0000-00006A000000}"/>
    <cellStyle name="เครื่องหมายจุลภาค 2 3" xfId="138" xr:uid="{00000000-0005-0000-0000-00006B000000}"/>
    <cellStyle name="เครื่องหมายจุลภาค 2 3 2" xfId="158" xr:uid="{00000000-0005-0000-0000-00006C000000}"/>
    <cellStyle name="เครื่องหมายจุลภาค 2 4" xfId="140" xr:uid="{00000000-0005-0000-0000-00006D000000}"/>
    <cellStyle name="เครื่องหมายจุลภาค 3" xfId="11" xr:uid="{00000000-0005-0000-0000-00006E000000}"/>
    <cellStyle name="เครื่องหมายจุลภาค 4" xfId="103" xr:uid="{00000000-0005-0000-0000-00006F000000}"/>
    <cellStyle name="เครื่องหมายจุลภาค 4 2" xfId="153" xr:uid="{00000000-0005-0000-0000-000070000000}"/>
    <cellStyle name="เครื่องหมายจุลภาค 5" xfId="104" xr:uid="{00000000-0005-0000-0000-000071000000}"/>
    <cellStyle name="เครื่องหมายจุลภาค 5 2" xfId="154" xr:uid="{00000000-0005-0000-0000-000072000000}"/>
    <cellStyle name="เครื่องหมายจุลภาค 6" xfId="139" xr:uid="{00000000-0005-0000-0000-000073000000}"/>
    <cellStyle name="เครื่องหมายจุลภาค 7" xfId="105" xr:uid="{00000000-0005-0000-0000-000074000000}"/>
    <cellStyle name="เครื่องหมายจุลภาค 7 2" xfId="155" xr:uid="{00000000-0005-0000-0000-000075000000}"/>
    <cellStyle name="เครื่องหมายจุลภาค_eroad ccชุมชนโรงฆ่าสัตว์" xfId="137" xr:uid="{00000000-0005-0000-0000-000076000000}"/>
    <cellStyle name="เครื่องหมายจุลภาค_ประมาณการ box ใหม่( ธ.ค. 46 ขนส่ง)" xfId="134" xr:uid="{00000000-0005-0000-0000-000077000000}"/>
    <cellStyle name="เครื่องหมายจุลภาค_รางระบายน้ำวังน้ำเขียวมอหินขาว" xfId="131" xr:uid="{00000000-0005-0000-0000-000079000000}"/>
    <cellStyle name="จุลภาค" xfId="1" builtinId="3"/>
    <cellStyle name="เซลล์ตรวจสอบ 2" xfId="106" xr:uid="{00000000-0005-0000-0000-00007A000000}"/>
    <cellStyle name="เซลล์ที่มีการเชื่อมโยง 2" xfId="107" xr:uid="{00000000-0005-0000-0000-00007B000000}"/>
    <cellStyle name="ดี 2" xfId="108" xr:uid="{00000000-0005-0000-0000-00007C000000}"/>
    <cellStyle name="ปกติ" xfId="0" builtinId="0"/>
    <cellStyle name="ปกติ 2" xfId="4" xr:uid="{00000000-0005-0000-0000-00007E000000}"/>
    <cellStyle name="ปกติ 3" xfId="5" xr:uid="{00000000-0005-0000-0000-00007F000000}"/>
    <cellStyle name="ปกติ 4" xfId="10" xr:uid="{00000000-0005-0000-0000-000080000000}"/>
    <cellStyle name="ปกติ 5" xfId="109" xr:uid="{00000000-0005-0000-0000-000081000000}"/>
    <cellStyle name="ปกติ 6" xfId="110" xr:uid="{00000000-0005-0000-0000-000082000000}"/>
    <cellStyle name="ปกติ 7" xfId="136" xr:uid="{00000000-0005-0000-0000-000083000000}"/>
    <cellStyle name="ปกติ_2065" xfId="9" xr:uid="{00000000-0005-0000-0000-000084000000}"/>
    <cellStyle name="ปกติ_ขวาง_บ้านเปลือย_new" xfId="135" xr:uid="{00000000-0005-0000-0000-000089000000}"/>
    <cellStyle name="ปกติ_ขวางน้ำบ้านเปลือย_new (version 1)" xfId="132" xr:uid="{00000000-0005-0000-0000-00008A000000}"/>
    <cellStyle name="ปกติ_ซ่อมสร้างผิว AC+Gutter กส.4024 แยกทล 2110-บ.กระบาก(9-8-54)" xfId="8" xr:uid="{00000000-0005-0000-0000-00008B000000}"/>
    <cellStyle name="ปกติ_บำรุงปกติ" xfId="12" xr:uid="{00000000-0005-0000-0000-00008C000000}"/>
    <cellStyle name="ปกติ_ประมาณการ box ใหม่( ธ.ค. 46 ขนส่ง)" xfId="133" xr:uid="{00000000-0005-0000-0000-00008D000000}"/>
    <cellStyle name="ปกติ_ประมาณราคาถนน คสล" xfId="13" xr:uid="{00000000-0005-0000-0000-000091000000}"/>
    <cellStyle name="ปกติ_รางระบายน้ำวังน้ำเขียวมอหินขาว" xfId="130" xr:uid="{00000000-0005-0000-0000-000092000000}"/>
    <cellStyle name="ป้อนค่า 2" xfId="111" xr:uid="{00000000-0005-0000-0000-000093000000}"/>
    <cellStyle name="ปานกลาง 2" xfId="112" xr:uid="{00000000-0005-0000-0000-000094000000}"/>
    <cellStyle name="เปอร์เซ็นต์ 2" xfId="6" xr:uid="{00000000-0005-0000-0000-000095000000}"/>
    <cellStyle name="เปอร์เซ็นต์ 2 2" xfId="128" xr:uid="{00000000-0005-0000-0000-000096000000}"/>
    <cellStyle name="เปอร์เซ็นต์ 3" xfId="113" xr:uid="{00000000-0005-0000-0000-000097000000}"/>
    <cellStyle name="ผลรวม 2" xfId="114" xr:uid="{00000000-0005-0000-0000-000098000000}"/>
    <cellStyle name="แย่ 2" xfId="115" xr:uid="{00000000-0005-0000-0000-000099000000}"/>
    <cellStyle name="ส่วนที่ถูกเน้น1 2" xfId="116" xr:uid="{00000000-0005-0000-0000-00009A000000}"/>
    <cellStyle name="ส่วนที่ถูกเน้น2 2" xfId="117" xr:uid="{00000000-0005-0000-0000-00009B000000}"/>
    <cellStyle name="ส่วนที่ถูกเน้น3 2" xfId="118" xr:uid="{00000000-0005-0000-0000-00009C000000}"/>
    <cellStyle name="ส่วนที่ถูกเน้น4 2" xfId="119" xr:uid="{00000000-0005-0000-0000-00009D000000}"/>
    <cellStyle name="ส่วนที่ถูกเน้น5 2" xfId="120" xr:uid="{00000000-0005-0000-0000-00009E000000}"/>
    <cellStyle name="ส่วนที่ถูกเน้น6 2" xfId="121" xr:uid="{00000000-0005-0000-0000-00009F000000}"/>
    <cellStyle name="แสดงผล 2" xfId="122" xr:uid="{00000000-0005-0000-0000-0000A0000000}"/>
    <cellStyle name="หมายเหตุ 2" xfId="123" xr:uid="{00000000-0005-0000-0000-0000A1000000}"/>
    <cellStyle name="หมายเหตุ 2 2" xfId="156" xr:uid="{00000000-0005-0000-0000-0000A2000000}"/>
    <cellStyle name="หัวเรื่อง 1 2" xfId="124" xr:uid="{00000000-0005-0000-0000-0000A3000000}"/>
    <cellStyle name="หัวเรื่อง 2 2" xfId="125" xr:uid="{00000000-0005-0000-0000-0000A4000000}"/>
    <cellStyle name="หัวเรื่อง 3 2" xfId="126" xr:uid="{00000000-0005-0000-0000-0000A5000000}"/>
    <cellStyle name="หัวเรื่อง 4 2" xfId="127" xr:uid="{00000000-0005-0000-0000-0000A6000000}"/>
  </cellStyles>
  <dxfs count="0"/>
  <tableStyles count="0" defaultTableStyle="TableStyleMedium9" defaultPivotStyle="PivotStyleLight16"/>
  <colors>
    <mruColors>
      <color rgb="FFFFFF99"/>
      <color rgb="FFFF3399"/>
      <color rgb="FFE4F2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Drop" dropStyle="combo" dx="16" fmlaLink="$D$22" fmlaRange="$B$5:$B$12" noThreeD="1" sel="2" val="0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97</xdr:row>
      <xdr:rowOff>0</xdr:rowOff>
    </xdr:from>
    <xdr:to>
      <xdr:col>17</xdr:col>
      <xdr:colOff>0</xdr:colOff>
      <xdr:row>97</xdr:row>
      <xdr:rowOff>0</xdr:rowOff>
    </xdr:to>
    <xdr:sp macro="" textlink="">
      <xdr:nvSpPr>
        <xdr:cNvPr id="8" name="Oval 12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3333750" y="83210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97</xdr:row>
      <xdr:rowOff>0</xdr:rowOff>
    </xdr:from>
    <xdr:to>
      <xdr:col>17</xdr:col>
      <xdr:colOff>0</xdr:colOff>
      <xdr:row>97</xdr:row>
      <xdr:rowOff>0</xdr:rowOff>
    </xdr:to>
    <xdr:sp macro="" textlink="">
      <xdr:nvSpPr>
        <xdr:cNvPr id="9" name="Oval 12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3333750" y="83210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98149</xdr:colOff>
      <xdr:row>21</xdr:row>
      <xdr:rowOff>102705</xdr:rowOff>
    </xdr:from>
    <xdr:to>
      <xdr:col>19</xdr:col>
      <xdr:colOff>128381</xdr:colOff>
      <xdr:row>35</xdr:row>
      <xdr:rowOff>152401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13374" y="5293830"/>
          <a:ext cx="3078232" cy="33834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282391</xdr:colOff>
      <xdr:row>2</xdr:row>
      <xdr:rowOff>71444</xdr:rowOff>
    </xdr:from>
    <xdr:to>
      <xdr:col>13</xdr:col>
      <xdr:colOff>638735</xdr:colOff>
      <xdr:row>14</xdr:row>
      <xdr:rowOff>291352</xdr:rowOff>
    </xdr:to>
    <xdr:pic>
      <xdr:nvPicPr>
        <xdr:cNvPr id="2" name="รูปภาพ 1" descr="spd_20100218143504_b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81803" y="698973"/>
          <a:ext cx="4143932" cy="3985085"/>
        </a:xfrm>
        <a:prstGeom prst="rect">
          <a:avLst/>
        </a:prstGeom>
      </xdr:spPr>
    </xdr:pic>
    <xdr:clientData/>
  </xdr:twoCellAnchor>
  <xdr:twoCellAnchor>
    <xdr:from>
      <xdr:col>6</xdr:col>
      <xdr:colOff>454312</xdr:colOff>
      <xdr:row>88</xdr:row>
      <xdr:rowOff>229976</xdr:rowOff>
    </xdr:from>
    <xdr:to>
      <xdr:col>17</xdr:col>
      <xdr:colOff>728381</xdr:colOff>
      <xdr:row>91</xdr:row>
      <xdr:rowOff>235065</xdr:rowOff>
    </xdr:to>
    <xdr:grpSp>
      <xdr:nvGrpSpPr>
        <xdr:cNvPr id="170" name="กลุ่ม 16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GrpSpPr/>
      </xdr:nvGrpSpPr>
      <xdr:grpSpPr>
        <a:xfrm>
          <a:off x="5082341" y="29387682"/>
          <a:ext cx="8936216" cy="946383"/>
          <a:chOff x="4051391" y="27874888"/>
          <a:chExt cx="8383610" cy="946383"/>
        </a:xfrm>
      </xdr:grpSpPr>
      <xdr:sp macro="" textlink="">
        <xdr:nvSpPr>
          <xdr:cNvPr id="16" name="Line 125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051391" y="28571165"/>
            <a:ext cx="83560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" name="Line 126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92019" y="28514897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8" name="Line 30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5697359" y="28286294"/>
            <a:ext cx="0" cy="50400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" name="Line 310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640008" y="28514897"/>
            <a:ext cx="115720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" name="Line 312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>
            <a:spLocks noChangeShapeType="1"/>
          </xdr:cNvSpPr>
        </xdr:nvSpPr>
        <xdr:spPr bwMode="auto">
          <a:xfrm>
            <a:off x="4269844" y="27874888"/>
            <a:ext cx="0" cy="8824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1" name="Line 312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12119672" y="27886348"/>
            <a:ext cx="0" cy="8824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2" name="Line 307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10624515" y="28317270"/>
            <a:ext cx="0" cy="50400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3" name="Line 310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567164" y="28512255"/>
            <a:ext cx="115720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4" name="Line 126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035118" y="28518972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5" name="Line 125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078942" y="27981087"/>
            <a:ext cx="83560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6" name="Line 126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87535" y="27916496"/>
            <a:ext cx="175107" cy="1238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7" name="Line 126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035119" y="27925058"/>
            <a:ext cx="175107" cy="1238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35000</xdr:colOff>
      <xdr:row>107</xdr:row>
      <xdr:rowOff>33445</xdr:rowOff>
    </xdr:from>
    <xdr:to>
      <xdr:col>7</xdr:col>
      <xdr:colOff>230740</xdr:colOff>
      <xdr:row>109</xdr:row>
      <xdr:rowOff>15440</xdr:rowOff>
    </xdr:to>
    <xdr:grpSp>
      <xdr:nvGrpSpPr>
        <xdr:cNvPr id="29" name="Group 2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pSpPr>
          <a:grpSpLocks/>
        </xdr:cNvGrpSpPr>
      </xdr:nvGrpSpPr>
      <xdr:grpSpPr bwMode="auto">
        <a:xfrm>
          <a:off x="539265" y="35152680"/>
          <a:ext cx="5115122" cy="609525"/>
          <a:chOff x="553" y="2795"/>
          <a:chExt cx="461" cy="64"/>
        </a:xfrm>
      </xdr:grpSpPr>
      <xdr:sp macro="" textlink="">
        <xdr:nvSpPr>
          <xdr:cNvPr id="30" name="Oval 6543" descr="5%">
            <a:extLst>
              <a:ext uri="{FF2B5EF4-FFF2-40B4-BE49-F238E27FC236}">
                <a16:creationId xmlns:a16="http://schemas.microsoft.com/office/drawing/2014/main" id="{00000000-0008-0000-09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553" y="2795"/>
            <a:ext cx="59" cy="64"/>
          </a:xfrm>
          <a:prstGeom prst="ellips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" name="Line 6544">
            <a:extLst>
              <a:ext uri="{FF2B5EF4-FFF2-40B4-BE49-F238E27FC236}">
                <a16:creationId xmlns:a16="http://schemas.microsoft.com/office/drawing/2014/main" id="{00000000-0008-0000-0900-00001F000000}"/>
              </a:ext>
            </a:extLst>
          </xdr:cNvPr>
          <xdr:cNvSpPr>
            <a:spLocks noChangeShapeType="1"/>
          </xdr:cNvSpPr>
        </xdr:nvSpPr>
        <xdr:spPr bwMode="auto">
          <a:xfrm>
            <a:off x="553" y="2827"/>
            <a:ext cx="46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188015</xdr:colOff>
      <xdr:row>92</xdr:row>
      <xdr:rowOff>200369</xdr:rowOff>
    </xdr:from>
    <xdr:to>
      <xdr:col>9</xdr:col>
      <xdr:colOff>545732</xdr:colOff>
      <xdr:row>92</xdr:row>
      <xdr:rowOff>215347</xdr:rowOff>
    </xdr:to>
    <xdr:cxnSp macro="">
      <xdr:nvCxnSpPr>
        <xdr:cNvPr id="161" name="ตัวเชื่อมต่อตรง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CxnSpPr/>
      </xdr:nvCxnSpPr>
      <xdr:spPr>
        <a:xfrm rot="10800000" flipV="1">
          <a:off x="6665015" y="30375569"/>
          <a:ext cx="357717" cy="14978"/>
        </a:xfrm>
        <a:prstGeom prst="line">
          <a:avLst/>
        </a:prstGeom>
        <a:ln w="38100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125234</xdr:colOff>
      <xdr:row>92</xdr:row>
      <xdr:rowOff>177787</xdr:rowOff>
    </xdr:from>
    <xdr:to>
      <xdr:col>15</xdr:col>
      <xdr:colOff>492956</xdr:colOff>
      <xdr:row>92</xdr:row>
      <xdr:rowOff>182756</xdr:rowOff>
    </xdr:to>
    <xdr:cxnSp macro="">
      <xdr:nvCxnSpPr>
        <xdr:cNvPr id="164" name="ตัวเชื่อมต่อตรง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CxnSpPr/>
      </xdr:nvCxnSpPr>
      <xdr:spPr>
        <a:xfrm rot="10800000">
          <a:off x="11643157" y="30415999"/>
          <a:ext cx="367722" cy="4969"/>
        </a:xfrm>
        <a:prstGeom prst="line">
          <a:avLst/>
        </a:prstGeom>
        <a:ln w="3810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108075</xdr:colOff>
      <xdr:row>92</xdr:row>
      <xdr:rowOff>141758</xdr:rowOff>
    </xdr:from>
    <xdr:to>
      <xdr:col>11</xdr:col>
      <xdr:colOff>649754</xdr:colOff>
      <xdr:row>92</xdr:row>
      <xdr:rowOff>143001</xdr:rowOff>
    </xdr:to>
    <xdr:cxnSp macro="">
      <xdr:nvCxnSpPr>
        <xdr:cNvPr id="168" name="ตัวเชื่อมต่อตรง 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CxnSpPr/>
      </xdr:nvCxnSpPr>
      <xdr:spPr>
        <a:xfrm rot="10800000" flipV="1">
          <a:off x="9010287" y="30379970"/>
          <a:ext cx="541679" cy="1243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51938</xdr:colOff>
      <xdr:row>87</xdr:row>
      <xdr:rowOff>220806</xdr:rowOff>
    </xdr:from>
    <xdr:to>
      <xdr:col>20</xdr:col>
      <xdr:colOff>278970</xdr:colOff>
      <xdr:row>97</xdr:row>
      <xdr:rowOff>38669</xdr:rowOff>
    </xdr:to>
    <xdr:grpSp>
      <xdr:nvGrpSpPr>
        <xdr:cNvPr id="178" name="กลุ่ม 17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GrpSpPr/>
      </xdr:nvGrpSpPr>
      <xdr:grpSpPr>
        <a:xfrm>
          <a:off x="1878497" y="29064747"/>
          <a:ext cx="14861914" cy="2955510"/>
          <a:chOff x="991088" y="28371263"/>
          <a:chExt cx="14628336" cy="2974720"/>
        </a:xfrm>
      </xdr:grpSpPr>
      <xdr:grpSp>
        <xdr:nvGrpSpPr>
          <xdr:cNvPr id="175" name="กลุ่ม 174">
            <a:extLst>
              <a:ext uri="{FF2B5EF4-FFF2-40B4-BE49-F238E27FC236}">
                <a16:creationId xmlns:a16="http://schemas.microsoft.com/office/drawing/2014/main" id="{00000000-0008-0000-0900-0000AF000000}"/>
              </a:ext>
            </a:extLst>
          </xdr:cNvPr>
          <xdr:cNvGrpSpPr/>
        </xdr:nvGrpSpPr>
        <xdr:grpSpPr>
          <a:xfrm>
            <a:off x="991088" y="28371263"/>
            <a:ext cx="14628336" cy="2974720"/>
            <a:chOff x="990712" y="28342547"/>
            <a:chExt cx="14614260" cy="2970967"/>
          </a:xfrm>
        </xdr:grpSpPr>
        <xdr:grpSp>
          <xdr:nvGrpSpPr>
            <xdr:cNvPr id="32" name="กลุ่ม 31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GrpSpPr/>
          </xdr:nvGrpSpPr>
          <xdr:grpSpPr>
            <a:xfrm>
              <a:off x="990712" y="28342547"/>
              <a:ext cx="14614260" cy="2970967"/>
              <a:chOff x="989727" y="28262406"/>
              <a:chExt cx="13981997" cy="2961113"/>
            </a:xfrm>
          </xdr:grpSpPr>
          <xdr:grpSp>
            <xdr:nvGrpSpPr>
              <xdr:cNvPr id="33" name="กลุ่ม 233">
                <a:extLst>
                  <a:ext uri="{FF2B5EF4-FFF2-40B4-BE49-F238E27FC236}">
                    <a16:creationId xmlns:a16="http://schemas.microsoft.com/office/drawing/2014/main" id="{00000000-0008-0000-0900-000021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989727" y="28262406"/>
                <a:ext cx="13981997" cy="2961113"/>
                <a:chOff x="-1571668" y="1785926"/>
                <a:chExt cx="13144500" cy="2647950"/>
              </a:xfrm>
            </xdr:grpSpPr>
            <xdr:grpSp>
              <xdr:nvGrpSpPr>
                <xdr:cNvPr id="36" name="Group 101">
                  <a:extLst>
                    <a:ext uri="{FF2B5EF4-FFF2-40B4-BE49-F238E27FC236}">
                      <a16:creationId xmlns:a16="http://schemas.microsoft.com/office/drawing/2014/main" id="{00000000-0008-0000-0900-000024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-1571668" y="2867021"/>
                  <a:ext cx="13144500" cy="1428750"/>
                  <a:chOff x="18" y="2479"/>
                  <a:chExt cx="1380" cy="150"/>
                </a:xfrm>
              </xdr:grpSpPr>
              <xdr:sp macro="" textlink="">
                <xdr:nvSpPr>
                  <xdr:cNvPr id="40" name="Text Box 102">
                    <a:extLst>
                      <a:ext uri="{FF2B5EF4-FFF2-40B4-BE49-F238E27FC236}">
                        <a16:creationId xmlns:a16="http://schemas.microsoft.com/office/drawing/2014/main" id="{00000000-0008-0000-0900-000028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381" y="2484"/>
                    <a:ext cx="64" cy="38"/>
                  </a:xfrm>
                  <a:prstGeom prst="rect">
                    <a:avLst/>
                  </a:prstGeom>
                  <a:noFill/>
                  <a:ln w="9525" algn="ctr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l" defTabSz="914400" rtl="0" eaLnBrk="1" fontAlgn="base" latinLnBrk="0" hangingPunct="1">
                      <a:lnSpc>
                        <a:spcPct val="10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r>
                      <a:rPr kumimoji="0" lang="en-US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TH SarabunPSK" pitchFamily="34" charset="-34"/>
                        <a:cs typeface="TH SarabunPSK" pitchFamily="34" charset="-34"/>
                      </a:rPr>
                      <a:t>Slope </a:t>
                    </a:r>
                  </a:p>
                </xdr:txBody>
              </xdr:sp>
              <xdr:sp macro="" textlink="">
                <xdr:nvSpPr>
                  <xdr:cNvPr id="41" name="Line 128">
                    <a:extLst>
                      <a:ext uri="{FF2B5EF4-FFF2-40B4-BE49-F238E27FC236}">
                        <a16:creationId xmlns:a16="http://schemas.microsoft.com/office/drawing/2014/main" id="{00000000-0008-0000-0900-000029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56" y="2505"/>
                    <a:ext cx="37" cy="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 type="stealth" w="sm" len="sm"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sp macro="" textlink="">
                <xdr:nvSpPr>
                  <xdr:cNvPr id="42" name="Line 209">
                    <a:extLst>
                      <a:ext uri="{FF2B5EF4-FFF2-40B4-BE49-F238E27FC236}">
                        <a16:creationId xmlns:a16="http://schemas.microsoft.com/office/drawing/2014/main" id="{00000000-0008-0000-0900-00002A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814" y="2504"/>
                    <a:ext cx="54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 type="stealth" w="sm" len="sm"/>
                    <a:tailEnd type="none" w="sm" len="sm"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sp macro="" textlink="">
                <xdr:nvSpPr>
                  <xdr:cNvPr id="43" name="Line 315">
                    <a:extLst>
                      <a:ext uri="{FF2B5EF4-FFF2-40B4-BE49-F238E27FC236}">
                        <a16:creationId xmlns:a16="http://schemas.microsoft.com/office/drawing/2014/main" id="{00000000-0008-0000-0900-00002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363" y="2508"/>
                    <a:ext cx="37" cy="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 type="stealth" w="sm" len="sm"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sp macro="" textlink="">
                <xdr:nvSpPr>
                  <xdr:cNvPr id="44" name="Line 316">
                    <a:extLst>
                      <a:ext uri="{FF2B5EF4-FFF2-40B4-BE49-F238E27FC236}">
                        <a16:creationId xmlns:a16="http://schemas.microsoft.com/office/drawing/2014/main" id="{00000000-0008-0000-0900-00002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1039" y="2508"/>
                    <a:ext cx="37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 type="stealth" w="sm" len="sm"/>
                    <a:tailEnd type="none" w="sm" len="sm"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grpSp>
                <xdr:nvGrpSpPr>
                  <xdr:cNvPr id="45" name="Group 107">
                    <a:extLst>
                      <a:ext uri="{FF2B5EF4-FFF2-40B4-BE49-F238E27FC236}">
                        <a16:creationId xmlns:a16="http://schemas.microsoft.com/office/drawing/2014/main" id="{00000000-0008-0000-0900-00002D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23" y="2517"/>
                    <a:ext cx="1375" cy="112"/>
                    <a:chOff x="23" y="2517"/>
                    <a:chExt cx="1375" cy="112"/>
                  </a:xfrm>
                </xdr:grpSpPr>
                <xdr:sp macro="" textlink="">
                  <xdr:nvSpPr>
                    <xdr:cNvPr id="50" name="Line 120">
                      <a:extLst>
                        <a:ext uri="{FF2B5EF4-FFF2-40B4-BE49-F238E27FC236}">
                          <a16:creationId xmlns:a16="http://schemas.microsoft.com/office/drawing/2014/main" id="{00000000-0008-0000-0900-000032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>
                      <a:off x="178" y="2517"/>
                      <a:ext cx="155" cy="80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grpSp>
                  <xdr:nvGrpSpPr>
                    <xdr:cNvPr id="51" name="Group 109">
                      <a:extLst>
                        <a:ext uri="{FF2B5EF4-FFF2-40B4-BE49-F238E27FC236}">
                          <a16:creationId xmlns:a16="http://schemas.microsoft.com/office/drawing/2014/main" id="{00000000-0008-0000-0900-00003300000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23" y="2519"/>
                      <a:ext cx="1375" cy="110"/>
                      <a:chOff x="8" y="2441"/>
                      <a:chExt cx="1355" cy="110"/>
                    </a:xfrm>
                  </xdr:grpSpPr>
                  <xdr:grpSp>
                    <xdr:nvGrpSpPr>
                      <xdr:cNvPr id="52" name="Group 110">
                        <a:extLst>
                          <a:ext uri="{FF2B5EF4-FFF2-40B4-BE49-F238E27FC236}">
                            <a16:creationId xmlns:a16="http://schemas.microsoft.com/office/drawing/2014/main" id="{00000000-0008-0000-0900-000034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8" y="2480"/>
                        <a:ext cx="1355" cy="71"/>
                        <a:chOff x="8" y="2480"/>
                        <a:chExt cx="1355" cy="71"/>
                      </a:xfrm>
                    </xdr:grpSpPr>
                    <xdr:grpSp>
                      <xdr:nvGrpSpPr>
                        <xdr:cNvPr id="60" name="Group 111">
                          <a:extLst>
                            <a:ext uri="{FF2B5EF4-FFF2-40B4-BE49-F238E27FC236}">
                              <a16:creationId xmlns:a16="http://schemas.microsoft.com/office/drawing/2014/main" id="{00000000-0008-0000-0900-00003C000000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120" y="2521"/>
                          <a:ext cx="159" cy="30"/>
                          <a:chOff x="120" y="2521"/>
                          <a:chExt cx="159" cy="30"/>
                        </a:xfrm>
                      </xdr:grpSpPr>
                      <xdr:sp macro="" textlink="">
                        <xdr:nvSpPr>
                          <xdr:cNvPr id="114" name="Line 129">
                            <a:extLst>
                              <a:ext uri="{FF2B5EF4-FFF2-40B4-BE49-F238E27FC236}">
                                <a16:creationId xmlns:a16="http://schemas.microsoft.com/office/drawing/2014/main" id="{00000000-0008-0000-0900-000072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0" y="2521"/>
                            <a:ext cx="27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5" name="Line 130">
                            <a:extLst>
                              <a:ext uri="{FF2B5EF4-FFF2-40B4-BE49-F238E27FC236}">
                                <a16:creationId xmlns:a16="http://schemas.microsoft.com/office/drawing/2014/main" id="{00000000-0008-0000-0900-000073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34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6" name="Line 131">
                            <a:extLst>
                              <a:ext uri="{FF2B5EF4-FFF2-40B4-BE49-F238E27FC236}">
                                <a16:creationId xmlns:a16="http://schemas.microsoft.com/office/drawing/2014/main" id="{00000000-0008-0000-0900-000074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42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7" name="Line 132">
                            <a:extLst>
                              <a:ext uri="{FF2B5EF4-FFF2-40B4-BE49-F238E27FC236}">
                                <a16:creationId xmlns:a16="http://schemas.microsoft.com/office/drawing/2014/main" id="{00000000-0008-0000-0900-000075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50" y="2522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8" name="Line 133">
                            <a:extLst>
                              <a:ext uri="{FF2B5EF4-FFF2-40B4-BE49-F238E27FC236}">
                                <a16:creationId xmlns:a16="http://schemas.microsoft.com/office/drawing/2014/main" id="{00000000-0008-0000-0900-000076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171" y="2523"/>
                            <a:ext cx="19" cy="2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9" name="Line 134">
                            <a:extLst>
                              <a:ext uri="{FF2B5EF4-FFF2-40B4-BE49-F238E27FC236}">
                                <a16:creationId xmlns:a16="http://schemas.microsoft.com/office/drawing/2014/main" id="{00000000-0008-0000-0900-000077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166" y="2526"/>
                            <a:ext cx="17" cy="2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0" name="Line 135">
                            <a:extLst>
                              <a:ext uri="{FF2B5EF4-FFF2-40B4-BE49-F238E27FC236}">
                                <a16:creationId xmlns:a16="http://schemas.microsoft.com/office/drawing/2014/main" id="{00000000-0008-0000-0900-000078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62" y="2533"/>
                            <a:ext cx="11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1" name="Line 136">
                            <a:extLst>
                              <a:ext uri="{FF2B5EF4-FFF2-40B4-BE49-F238E27FC236}">
                                <a16:creationId xmlns:a16="http://schemas.microsoft.com/office/drawing/2014/main" id="{00000000-0008-0000-0900-000079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57" y="2540"/>
                            <a:ext cx="7" cy="1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2" name="Line 137">
                            <a:extLst>
                              <a:ext uri="{FF2B5EF4-FFF2-40B4-BE49-F238E27FC236}">
                                <a16:creationId xmlns:a16="http://schemas.microsoft.com/office/drawing/2014/main" id="{00000000-0008-0000-0900-00007A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91" y="2521"/>
                            <a:ext cx="27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3" name="Line 138">
                            <a:extLst>
                              <a:ext uri="{FF2B5EF4-FFF2-40B4-BE49-F238E27FC236}">
                                <a16:creationId xmlns:a16="http://schemas.microsoft.com/office/drawing/2014/main" id="{00000000-0008-0000-0900-00007B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85" y="2521"/>
                            <a:ext cx="23" cy="22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4" name="Line 139">
                            <a:extLst>
                              <a:ext uri="{FF2B5EF4-FFF2-40B4-BE49-F238E27FC236}">
                                <a16:creationId xmlns:a16="http://schemas.microsoft.com/office/drawing/2014/main" id="{00000000-0008-0000-0900-00007C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80" y="2521"/>
                            <a:ext cx="12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5" name="Line 140">
                            <a:extLst>
                              <a:ext uri="{FF2B5EF4-FFF2-40B4-BE49-F238E27FC236}">
                                <a16:creationId xmlns:a16="http://schemas.microsoft.com/office/drawing/2014/main" id="{00000000-0008-0000-0900-00007D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77" y="2522"/>
                            <a:ext cx="8" cy="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6" name="Line 141">
                            <a:extLst>
                              <a:ext uri="{FF2B5EF4-FFF2-40B4-BE49-F238E27FC236}">
                                <a16:creationId xmlns:a16="http://schemas.microsoft.com/office/drawing/2014/main" id="{00000000-0008-0000-0900-00007E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216" y="2521"/>
                            <a:ext cx="21" cy="2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7" name="Line 142">
                            <a:extLst>
                              <a:ext uri="{FF2B5EF4-FFF2-40B4-BE49-F238E27FC236}">
                                <a16:creationId xmlns:a16="http://schemas.microsoft.com/office/drawing/2014/main" id="{00000000-0008-0000-0900-00007F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13" y="2529"/>
                            <a:ext cx="15" cy="2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8" name="Line 143">
                            <a:extLst>
                              <a:ext uri="{FF2B5EF4-FFF2-40B4-BE49-F238E27FC236}">
                                <a16:creationId xmlns:a16="http://schemas.microsoft.com/office/drawing/2014/main" id="{00000000-0008-0000-0900-000080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08" y="2533"/>
                            <a:ext cx="12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29" name="Line 144">
                            <a:extLst>
                              <a:ext uri="{FF2B5EF4-FFF2-40B4-BE49-F238E27FC236}">
                                <a16:creationId xmlns:a16="http://schemas.microsoft.com/office/drawing/2014/main" id="{00000000-0008-0000-0900-000081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05" y="2539"/>
                            <a:ext cx="8" cy="12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0" name="Line 145">
                            <a:extLst>
                              <a:ext uri="{FF2B5EF4-FFF2-40B4-BE49-F238E27FC236}">
                                <a16:creationId xmlns:a16="http://schemas.microsoft.com/office/drawing/2014/main" id="{00000000-0008-0000-0900-000082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34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1" name="Line 146">
                            <a:extLst>
                              <a:ext uri="{FF2B5EF4-FFF2-40B4-BE49-F238E27FC236}">
                                <a16:creationId xmlns:a16="http://schemas.microsoft.com/office/drawing/2014/main" id="{00000000-0008-0000-0900-000083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31" y="2522"/>
                            <a:ext cx="15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2" name="Line 147">
                            <a:extLst>
                              <a:ext uri="{FF2B5EF4-FFF2-40B4-BE49-F238E27FC236}">
                                <a16:creationId xmlns:a16="http://schemas.microsoft.com/office/drawing/2014/main" id="{00000000-0008-0000-0900-000084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26" y="2521"/>
                            <a:ext cx="13" cy="1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3" name="Line 148">
                            <a:extLst>
                              <a:ext uri="{FF2B5EF4-FFF2-40B4-BE49-F238E27FC236}">
                                <a16:creationId xmlns:a16="http://schemas.microsoft.com/office/drawing/2014/main" id="{00000000-0008-0000-0900-000085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24" y="2521"/>
                            <a:ext cx="8" cy="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4" name="Line 149">
                            <a:extLst>
                              <a:ext uri="{FF2B5EF4-FFF2-40B4-BE49-F238E27FC236}">
                                <a16:creationId xmlns:a16="http://schemas.microsoft.com/office/drawing/2014/main" id="{00000000-0008-0000-0900-000086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254" y="2521"/>
                            <a:ext cx="25" cy="2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5" name="Line 150">
                            <a:extLst>
                              <a:ext uri="{FF2B5EF4-FFF2-40B4-BE49-F238E27FC236}">
                                <a16:creationId xmlns:a16="http://schemas.microsoft.com/office/drawing/2014/main" id="{00000000-0008-0000-0900-000087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50" y="2529"/>
                            <a:ext cx="20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6" name="Line 151">
                            <a:extLst>
                              <a:ext uri="{FF2B5EF4-FFF2-40B4-BE49-F238E27FC236}">
                                <a16:creationId xmlns:a16="http://schemas.microsoft.com/office/drawing/2014/main" id="{00000000-0008-0000-0900-000088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45" y="2534"/>
                            <a:ext cx="10" cy="1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37" name="Line 152">
                            <a:extLst>
                              <a:ext uri="{FF2B5EF4-FFF2-40B4-BE49-F238E27FC236}">
                                <a16:creationId xmlns:a16="http://schemas.microsoft.com/office/drawing/2014/main" id="{00000000-0008-0000-0900-000089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241" y="2540"/>
                            <a:ext cx="5" cy="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</xdr:grpSp>
                    <xdr:grpSp>
                      <xdr:nvGrpSpPr>
                        <xdr:cNvPr id="61" name="Group 136">
                          <a:extLst>
                            <a:ext uri="{FF2B5EF4-FFF2-40B4-BE49-F238E27FC236}">
                              <a16:creationId xmlns:a16="http://schemas.microsoft.com/office/drawing/2014/main" id="{00000000-0008-0000-0900-00003D000000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610" y="2521"/>
                          <a:ext cx="156" cy="30"/>
                          <a:chOff x="610" y="2521"/>
                          <a:chExt cx="156" cy="30"/>
                        </a:xfrm>
                      </xdr:grpSpPr>
                      <xdr:sp macro="" textlink="">
                        <xdr:nvSpPr>
                          <xdr:cNvPr id="91" name="Line 153">
                            <a:extLst>
                              <a:ext uri="{FF2B5EF4-FFF2-40B4-BE49-F238E27FC236}">
                                <a16:creationId xmlns:a16="http://schemas.microsoft.com/office/drawing/2014/main" id="{00000000-0008-0000-0900-00005B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10" y="2521"/>
                            <a:ext cx="27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2" name="Line 154">
                            <a:extLst>
                              <a:ext uri="{FF2B5EF4-FFF2-40B4-BE49-F238E27FC236}">
                                <a16:creationId xmlns:a16="http://schemas.microsoft.com/office/drawing/2014/main" id="{00000000-0008-0000-0900-00005C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24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3" name="Line 155">
                            <a:extLst>
                              <a:ext uri="{FF2B5EF4-FFF2-40B4-BE49-F238E27FC236}">
                                <a16:creationId xmlns:a16="http://schemas.microsoft.com/office/drawing/2014/main" id="{00000000-0008-0000-0900-00005D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32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4" name="Line 156">
                            <a:extLst>
                              <a:ext uri="{FF2B5EF4-FFF2-40B4-BE49-F238E27FC236}">
                                <a16:creationId xmlns:a16="http://schemas.microsoft.com/office/drawing/2014/main" id="{00000000-0008-0000-0900-00005E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40" y="2522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5" name="Line 157">
                            <a:extLst>
                              <a:ext uri="{FF2B5EF4-FFF2-40B4-BE49-F238E27FC236}">
                                <a16:creationId xmlns:a16="http://schemas.microsoft.com/office/drawing/2014/main" id="{00000000-0008-0000-0900-00005F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661" y="2523"/>
                            <a:ext cx="19" cy="2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6" name="Line 158">
                            <a:extLst>
                              <a:ext uri="{FF2B5EF4-FFF2-40B4-BE49-F238E27FC236}">
                                <a16:creationId xmlns:a16="http://schemas.microsoft.com/office/drawing/2014/main" id="{00000000-0008-0000-0900-000060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656" y="2526"/>
                            <a:ext cx="17" cy="2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7" name="Line 159">
                            <a:extLst>
                              <a:ext uri="{FF2B5EF4-FFF2-40B4-BE49-F238E27FC236}">
                                <a16:creationId xmlns:a16="http://schemas.microsoft.com/office/drawing/2014/main" id="{00000000-0008-0000-0900-000061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652" y="2533"/>
                            <a:ext cx="11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8" name="Line 160">
                            <a:extLst>
                              <a:ext uri="{FF2B5EF4-FFF2-40B4-BE49-F238E27FC236}">
                                <a16:creationId xmlns:a16="http://schemas.microsoft.com/office/drawing/2014/main" id="{00000000-0008-0000-0900-000062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647" y="2540"/>
                            <a:ext cx="7" cy="1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9" name="Line 161">
                            <a:extLst>
                              <a:ext uri="{FF2B5EF4-FFF2-40B4-BE49-F238E27FC236}">
                                <a16:creationId xmlns:a16="http://schemas.microsoft.com/office/drawing/2014/main" id="{00000000-0008-0000-0900-000063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81" y="2521"/>
                            <a:ext cx="27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0" name="Line 162">
                            <a:extLst>
                              <a:ext uri="{FF2B5EF4-FFF2-40B4-BE49-F238E27FC236}">
                                <a16:creationId xmlns:a16="http://schemas.microsoft.com/office/drawing/2014/main" id="{00000000-0008-0000-0900-000064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75" y="2521"/>
                            <a:ext cx="23" cy="22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1" name="Line 163">
                            <a:extLst>
                              <a:ext uri="{FF2B5EF4-FFF2-40B4-BE49-F238E27FC236}">
                                <a16:creationId xmlns:a16="http://schemas.microsoft.com/office/drawing/2014/main" id="{00000000-0008-0000-0900-000065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70" y="2521"/>
                            <a:ext cx="12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2" name="Line 165">
                            <a:extLst>
                              <a:ext uri="{FF2B5EF4-FFF2-40B4-BE49-F238E27FC236}">
                                <a16:creationId xmlns:a16="http://schemas.microsoft.com/office/drawing/2014/main" id="{00000000-0008-0000-0900-000066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706" y="2521"/>
                            <a:ext cx="21" cy="2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3" name="Line 166">
                            <a:extLst>
                              <a:ext uri="{FF2B5EF4-FFF2-40B4-BE49-F238E27FC236}">
                                <a16:creationId xmlns:a16="http://schemas.microsoft.com/office/drawing/2014/main" id="{00000000-0008-0000-0900-000067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703" y="2529"/>
                            <a:ext cx="15" cy="2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4" name="Line 167">
                            <a:extLst>
                              <a:ext uri="{FF2B5EF4-FFF2-40B4-BE49-F238E27FC236}">
                                <a16:creationId xmlns:a16="http://schemas.microsoft.com/office/drawing/2014/main" id="{00000000-0008-0000-0900-000068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628" y="2533"/>
                            <a:ext cx="12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5" name="Line 168">
                            <a:extLst>
                              <a:ext uri="{FF2B5EF4-FFF2-40B4-BE49-F238E27FC236}">
                                <a16:creationId xmlns:a16="http://schemas.microsoft.com/office/drawing/2014/main" id="{00000000-0008-0000-0900-000069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625" y="2539"/>
                            <a:ext cx="8" cy="12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6" name="Line 169">
                            <a:extLst>
                              <a:ext uri="{FF2B5EF4-FFF2-40B4-BE49-F238E27FC236}">
                                <a16:creationId xmlns:a16="http://schemas.microsoft.com/office/drawing/2014/main" id="{00000000-0008-0000-0900-00006A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654" y="2522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7" name="Line 170">
                            <a:extLst>
                              <a:ext uri="{FF2B5EF4-FFF2-40B4-BE49-F238E27FC236}">
                                <a16:creationId xmlns:a16="http://schemas.microsoft.com/office/drawing/2014/main" id="{00000000-0008-0000-0900-00006B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721" y="2522"/>
                            <a:ext cx="15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8" name="Line 171">
                            <a:extLst>
                              <a:ext uri="{FF2B5EF4-FFF2-40B4-BE49-F238E27FC236}">
                                <a16:creationId xmlns:a16="http://schemas.microsoft.com/office/drawing/2014/main" id="{00000000-0008-0000-0900-00006C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716" y="2521"/>
                            <a:ext cx="13" cy="1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09" name="Line 172">
                            <a:extLst>
                              <a:ext uri="{FF2B5EF4-FFF2-40B4-BE49-F238E27FC236}">
                                <a16:creationId xmlns:a16="http://schemas.microsoft.com/office/drawing/2014/main" id="{00000000-0008-0000-0900-00006D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714" y="2521"/>
                            <a:ext cx="8" cy="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0" name="Line 173">
                            <a:extLst>
                              <a:ext uri="{FF2B5EF4-FFF2-40B4-BE49-F238E27FC236}">
                                <a16:creationId xmlns:a16="http://schemas.microsoft.com/office/drawing/2014/main" id="{00000000-0008-0000-0900-00006E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741" y="2522"/>
                            <a:ext cx="25" cy="2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1" name="Line 174">
                            <a:extLst>
                              <a:ext uri="{FF2B5EF4-FFF2-40B4-BE49-F238E27FC236}">
                                <a16:creationId xmlns:a16="http://schemas.microsoft.com/office/drawing/2014/main" id="{00000000-0008-0000-0900-00006F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736" y="2526"/>
                            <a:ext cx="20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2" name="Line 175">
                            <a:extLst>
                              <a:ext uri="{FF2B5EF4-FFF2-40B4-BE49-F238E27FC236}">
                                <a16:creationId xmlns:a16="http://schemas.microsoft.com/office/drawing/2014/main" id="{00000000-0008-0000-0900-000070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729" y="2531"/>
                            <a:ext cx="10" cy="1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113" name="Line 176">
                            <a:extLst>
                              <a:ext uri="{FF2B5EF4-FFF2-40B4-BE49-F238E27FC236}">
                                <a16:creationId xmlns:a16="http://schemas.microsoft.com/office/drawing/2014/main" id="{00000000-0008-0000-0900-000071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727" y="2537"/>
                            <a:ext cx="5" cy="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</xdr:grpSp>
                    <xdr:grpSp>
                      <xdr:nvGrpSpPr>
                        <xdr:cNvPr id="62" name="Group 160">
                          <a:extLst>
                            <a:ext uri="{FF2B5EF4-FFF2-40B4-BE49-F238E27FC236}">
                              <a16:creationId xmlns:a16="http://schemas.microsoft.com/office/drawing/2014/main" id="{00000000-0008-0000-0900-00003E000000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1222" y="2521"/>
                          <a:ext cx="113" cy="30"/>
                          <a:chOff x="1222" y="2521"/>
                          <a:chExt cx="113" cy="30"/>
                        </a:xfrm>
                      </xdr:grpSpPr>
                      <xdr:sp macro="" textlink="">
                        <xdr:nvSpPr>
                          <xdr:cNvPr id="71" name="Line 177">
                            <a:extLst>
                              <a:ext uri="{FF2B5EF4-FFF2-40B4-BE49-F238E27FC236}">
                                <a16:creationId xmlns:a16="http://schemas.microsoft.com/office/drawing/2014/main" id="{00000000-0008-0000-0900-000047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22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2" name="Line 178">
                            <a:extLst>
                              <a:ext uri="{FF2B5EF4-FFF2-40B4-BE49-F238E27FC236}">
                                <a16:creationId xmlns:a16="http://schemas.microsoft.com/office/drawing/2014/main" id="{00000000-0008-0000-0900-000048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30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3" name="Line 179">
                            <a:extLst>
                              <a:ext uri="{FF2B5EF4-FFF2-40B4-BE49-F238E27FC236}">
                                <a16:creationId xmlns:a16="http://schemas.microsoft.com/office/drawing/2014/main" id="{00000000-0008-0000-0900-000049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38" y="2522"/>
                            <a:ext cx="18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4" name="Line 182">
                            <a:extLst>
                              <a:ext uri="{FF2B5EF4-FFF2-40B4-BE49-F238E27FC236}">
                                <a16:creationId xmlns:a16="http://schemas.microsoft.com/office/drawing/2014/main" id="{00000000-0008-0000-0900-00004A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50" y="2533"/>
                            <a:ext cx="6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5" name="Line 183">
                            <a:extLst>
                              <a:ext uri="{FF2B5EF4-FFF2-40B4-BE49-F238E27FC236}">
                                <a16:creationId xmlns:a16="http://schemas.microsoft.com/office/drawing/2014/main" id="{00000000-0008-0000-0900-00004B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45" y="2540"/>
                            <a:ext cx="7" cy="1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6" name="Line 184">
                            <a:extLst>
                              <a:ext uri="{FF2B5EF4-FFF2-40B4-BE49-F238E27FC236}">
                                <a16:creationId xmlns:a16="http://schemas.microsoft.com/office/drawing/2014/main" id="{00000000-0008-0000-0900-00004C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56" y="2521"/>
                            <a:ext cx="18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7" name="Line 186">
                            <a:extLst>
                              <a:ext uri="{FF2B5EF4-FFF2-40B4-BE49-F238E27FC236}">
                                <a16:creationId xmlns:a16="http://schemas.microsoft.com/office/drawing/2014/main" id="{00000000-0008-0000-0900-00004D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56" y="2521"/>
                            <a:ext cx="9" cy="1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8" name="Line 187">
                            <a:extLst>
                              <a:ext uri="{FF2B5EF4-FFF2-40B4-BE49-F238E27FC236}">
                                <a16:creationId xmlns:a16="http://schemas.microsoft.com/office/drawing/2014/main" id="{00000000-0008-0000-0900-00004E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54" y="2526"/>
                            <a:ext cx="8" cy="1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79" name="Line 188">
                            <a:extLst>
                              <a:ext uri="{FF2B5EF4-FFF2-40B4-BE49-F238E27FC236}">
                                <a16:creationId xmlns:a16="http://schemas.microsoft.com/office/drawing/2014/main" id="{00000000-0008-0000-0900-00004F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1272" y="2521"/>
                            <a:ext cx="21" cy="2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0" name="Line 189">
                            <a:extLst>
                              <a:ext uri="{FF2B5EF4-FFF2-40B4-BE49-F238E27FC236}">
                                <a16:creationId xmlns:a16="http://schemas.microsoft.com/office/drawing/2014/main" id="{00000000-0008-0000-0900-000050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69" y="2529"/>
                            <a:ext cx="15" cy="20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1" name="Line 190">
                            <a:extLst>
                              <a:ext uri="{FF2B5EF4-FFF2-40B4-BE49-F238E27FC236}">
                                <a16:creationId xmlns:a16="http://schemas.microsoft.com/office/drawing/2014/main" id="{00000000-0008-0000-0900-000051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64" y="2533"/>
                            <a:ext cx="12" cy="17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2" name="Line 191">
                            <a:extLst>
                              <a:ext uri="{FF2B5EF4-FFF2-40B4-BE49-F238E27FC236}">
                                <a16:creationId xmlns:a16="http://schemas.microsoft.com/office/drawing/2014/main" id="{00000000-0008-0000-0900-000052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61" y="2539"/>
                            <a:ext cx="8" cy="12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3" name="Line 192">
                            <a:extLst>
                              <a:ext uri="{FF2B5EF4-FFF2-40B4-BE49-F238E27FC236}">
                                <a16:creationId xmlns:a16="http://schemas.microsoft.com/office/drawing/2014/main" id="{00000000-0008-0000-0900-000053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90" y="2521"/>
                            <a:ext cx="21" cy="2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4" name="Line 193">
                            <a:extLst>
                              <a:ext uri="{FF2B5EF4-FFF2-40B4-BE49-F238E27FC236}">
                                <a16:creationId xmlns:a16="http://schemas.microsoft.com/office/drawing/2014/main" id="{00000000-0008-0000-0900-000054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87" y="2522"/>
                            <a:ext cx="15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5" name="Line 194">
                            <a:extLst>
                              <a:ext uri="{FF2B5EF4-FFF2-40B4-BE49-F238E27FC236}">
                                <a16:creationId xmlns:a16="http://schemas.microsoft.com/office/drawing/2014/main" id="{00000000-0008-0000-0900-000055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82" y="2521"/>
                            <a:ext cx="13" cy="14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6" name="Line 195">
                            <a:extLst>
                              <a:ext uri="{FF2B5EF4-FFF2-40B4-BE49-F238E27FC236}">
                                <a16:creationId xmlns:a16="http://schemas.microsoft.com/office/drawing/2014/main" id="{00000000-0008-0000-0900-000056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1280" y="2521"/>
                            <a:ext cx="8" cy="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7" name="Line 196">
                            <a:extLst>
                              <a:ext uri="{FF2B5EF4-FFF2-40B4-BE49-F238E27FC236}">
                                <a16:creationId xmlns:a16="http://schemas.microsoft.com/office/drawing/2014/main" id="{00000000-0008-0000-0900-000057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>
                            <a:off x="1310" y="2521"/>
                            <a:ext cx="25" cy="2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8" name="Line 197">
                            <a:extLst>
                              <a:ext uri="{FF2B5EF4-FFF2-40B4-BE49-F238E27FC236}">
                                <a16:creationId xmlns:a16="http://schemas.microsoft.com/office/drawing/2014/main" id="{00000000-0008-0000-0900-000058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306" y="2529"/>
                            <a:ext cx="20" cy="18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89" name="Line 198">
                            <a:extLst>
                              <a:ext uri="{FF2B5EF4-FFF2-40B4-BE49-F238E27FC236}">
                                <a16:creationId xmlns:a16="http://schemas.microsoft.com/office/drawing/2014/main" id="{00000000-0008-0000-0900-000059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301" y="2534"/>
                            <a:ext cx="10" cy="15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90" name="Line 199">
                            <a:extLst>
                              <a:ext uri="{FF2B5EF4-FFF2-40B4-BE49-F238E27FC236}">
                                <a16:creationId xmlns:a16="http://schemas.microsoft.com/office/drawing/2014/main" id="{00000000-0008-0000-0900-00005A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H="1" flipV="1">
                            <a:off x="1297" y="2540"/>
                            <a:ext cx="5" cy="6"/>
                          </a:xfrm>
                          <a:prstGeom prst="line">
                            <a:avLst/>
                          </a:prstGeom>
                          <a:noFill/>
                          <a:ln w="635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</xdr:grpSp>
                    <xdr:grpSp>
                      <xdr:nvGrpSpPr>
                        <xdr:cNvPr id="63" name="Group 181">
                          <a:extLst>
                            <a:ext uri="{FF2B5EF4-FFF2-40B4-BE49-F238E27FC236}">
                              <a16:creationId xmlns:a16="http://schemas.microsoft.com/office/drawing/2014/main" id="{00000000-0008-0000-0900-00003F000000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8" y="2480"/>
                          <a:ext cx="1355" cy="53"/>
                          <a:chOff x="8" y="2480"/>
                          <a:chExt cx="1355" cy="53"/>
                        </a:xfrm>
                      </xdr:grpSpPr>
                      <xdr:sp macro="" textlink="">
                        <xdr:nvSpPr>
                          <xdr:cNvPr id="64" name="Freeform 218">
                            <a:extLst>
                              <a:ext uri="{FF2B5EF4-FFF2-40B4-BE49-F238E27FC236}">
                                <a16:creationId xmlns:a16="http://schemas.microsoft.com/office/drawing/2014/main" id="{00000000-0008-0000-0900-000040000000}"/>
                              </a:ext>
                            </a:extLst>
                          </xdr:cNvPr>
                          <xdr:cNvSpPr>
                            <a:spLocks/>
                          </xdr:cNvSpPr>
                        </xdr:nvSpPr>
                        <xdr:spPr bwMode="auto">
                          <a:xfrm>
                            <a:off x="101" y="2508"/>
                            <a:ext cx="13" cy="10"/>
                          </a:xfrm>
                          <a:custGeom>
                            <a:avLst/>
                            <a:gdLst>
                              <a:gd name="T0" fmla="*/ 0 w 13"/>
                              <a:gd name="T1" fmla="*/ 0 h 10"/>
                              <a:gd name="T2" fmla="*/ 2147483647 w 13"/>
                              <a:gd name="T3" fmla="*/ 0 h 10"/>
                              <a:gd name="T4" fmla="*/ 2147483647 w 13"/>
                              <a:gd name="T5" fmla="*/ 2147483647 h 10"/>
                              <a:gd name="T6" fmla="*/ 0 w 13"/>
                              <a:gd name="T7" fmla="*/ 0 h 10"/>
                              <a:gd name="T8" fmla="*/ 0 60000 65536"/>
                              <a:gd name="T9" fmla="*/ 0 60000 65536"/>
                              <a:gd name="T10" fmla="*/ 0 60000 65536"/>
                              <a:gd name="T11" fmla="*/ 0 60000 65536"/>
                              <a:gd name="T12" fmla="*/ 0 w 13"/>
                              <a:gd name="T13" fmla="*/ 0 h 10"/>
                              <a:gd name="T14" fmla="*/ 13 w 13"/>
                              <a:gd name="T15" fmla="*/ 10 h 10"/>
                            </a:gdLst>
                            <a:ahLst/>
                            <a:cxnLst>
                              <a:cxn ang="T8">
                                <a:pos x="T0" y="T1"/>
                              </a:cxn>
                              <a:cxn ang="T9">
                                <a:pos x="T2" y="T3"/>
                              </a:cxn>
                              <a:cxn ang="T10">
                                <a:pos x="T4" y="T5"/>
                              </a:cxn>
                              <a:cxn ang="T11">
                                <a:pos x="T6" y="T7"/>
                              </a:cxn>
                            </a:cxnLst>
                            <a:rect l="T12" t="T13" r="T14" b="T15"/>
                            <a:pathLst>
                              <a:path w="13" h="10">
                                <a:moveTo>
                                  <a:pt x="0" y="0"/>
                                </a:moveTo>
                                <a:lnTo>
                                  <a:pt x="13" y="0"/>
                                </a:lnTo>
                                <a:lnTo>
                                  <a:pt x="6" y="10"/>
                                </a:lnTo>
                                <a:lnTo>
                                  <a:pt x="0" y="0"/>
                                </a:lnTo>
                                <a:close/>
                              </a:path>
                            </a:pathLst>
                          </a:custGeom>
                          <a:solidFill>
                            <a:srgbClr val="000000"/>
                          </a:solidFill>
                          <a:ln w="1270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l" defTabSz="914400" rtl="0" eaLnBrk="1" fontAlgn="base" latinLnBrk="0" hangingPunct="1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en-US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itchFamily="34" charset="0"/>
                              <a:cs typeface="Arial" pitchFamily="34" charset="0"/>
                            </a:endParaRPr>
                          </a:p>
                        </xdr:txBody>
                      </xdr:sp>
                      <xdr:grpSp>
                        <xdr:nvGrpSpPr>
                          <xdr:cNvPr id="65" name="Group 183">
                            <a:extLst>
                              <a:ext uri="{FF2B5EF4-FFF2-40B4-BE49-F238E27FC236}">
                                <a16:creationId xmlns:a16="http://schemas.microsoft.com/office/drawing/2014/main" id="{00000000-0008-0000-0900-000041000000}"/>
                              </a:ext>
                            </a:extLst>
                          </xdr:cNvPr>
                          <xdr:cNvGrpSpPr>
                            <a:grpSpLocks/>
                          </xdr:cNvGrpSpPr>
                        </xdr:nvGrpSpPr>
                        <xdr:grpSpPr bwMode="auto">
                          <a:xfrm>
                            <a:off x="8" y="2480"/>
                            <a:ext cx="1355" cy="53"/>
                            <a:chOff x="8" y="2480"/>
                            <a:chExt cx="1355" cy="53"/>
                          </a:xfrm>
                        </xdr:grpSpPr>
                        <xdr:sp macro="" textlink="">
                          <xdr:nvSpPr>
                            <xdr:cNvPr id="66" name="Freeform 116">
                              <a:extLst>
                                <a:ext uri="{FF2B5EF4-FFF2-40B4-BE49-F238E27FC236}">
                                  <a16:creationId xmlns:a16="http://schemas.microsoft.com/office/drawing/2014/main" id="{00000000-0008-0000-0900-000042000000}"/>
                                </a:ext>
                              </a:extLst>
                            </xdr:cNvPr>
                            <xdr:cNvSpPr>
                              <a:spLocks/>
                            </xdr:cNvSpPr>
                          </xdr:nvSpPr>
                          <xdr:spPr bwMode="auto">
                            <a:xfrm>
                              <a:off x="8" y="2520"/>
                              <a:ext cx="501" cy="7"/>
                            </a:xfrm>
                            <a:custGeom>
                              <a:avLst/>
                              <a:gdLst>
                                <a:gd name="T0" fmla="*/ 0 w 343"/>
                                <a:gd name="T1" fmla="*/ 2147483647 h 8"/>
                                <a:gd name="T2" fmla="*/ 2147483647 w 343"/>
                                <a:gd name="T3" fmla="*/ 2147483647 h 8"/>
                                <a:gd name="T4" fmla="*/ 2147483647 w 343"/>
                                <a:gd name="T5" fmla="*/ 2147483647 h 8"/>
                                <a:gd name="T6" fmla="*/ 2147483647 w 343"/>
                                <a:gd name="T7" fmla="*/ 2147483647 h 8"/>
                                <a:gd name="T8" fmla="*/ 2147483647 w 343"/>
                                <a:gd name="T9" fmla="*/ 2147483647 h 8"/>
                                <a:gd name="T10" fmla="*/ 2147483647 w 343"/>
                                <a:gd name="T11" fmla="*/ 2147483647 h 8"/>
                                <a:gd name="T12" fmla="*/ 2147483647 w 343"/>
                                <a:gd name="T13" fmla="*/ 2147483647 h 8"/>
                                <a:gd name="T14" fmla="*/ 2147483647 w 343"/>
                                <a:gd name="T15" fmla="*/ 2147483647 h 8"/>
                                <a:gd name="T16" fmla="*/ 2147483647 w 343"/>
                                <a:gd name="T17" fmla="*/ 2147483647 h 8"/>
                                <a:gd name="T18" fmla="*/ 2147483647 w 343"/>
                                <a:gd name="T19" fmla="*/ 2147483647 h 8"/>
                                <a:gd name="T20" fmla="*/ 2147483647 w 343"/>
                                <a:gd name="T21" fmla="*/ 2147483647 h 8"/>
                                <a:gd name="T22" fmla="*/ 0 60000 65536"/>
                                <a:gd name="T23" fmla="*/ 0 60000 65536"/>
                                <a:gd name="T24" fmla="*/ 0 60000 65536"/>
                                <a:gd name="T25" fmla="*/ 0 60000 65536"/>
                                <a:gd name="T26" fmla="*/ 0 60000 65536"/>
                                <a:gd name="T27" fmla="*/ 0 60000 65536"/>
                                <a:gd name="T28" fmla="*/ 0 60000 65536"/>
                                <a:gd name="T29" fmla="*/ 0 60000 65536"/>
                                <a:gd name="T30" fmla="*/ 0 60000 65536"/>
                                <a:gd name="T31" fmla="*/ 0 60000 65536"/>
                                <a:gd name="T32" fmla="*/ 0 60000 65536"/>
                                <a:gd name="T33" fmla="*/ 0 w 343"/>
                                <a:gd name="T34" fmla="*/ 0 h 8"/>
                                <a:gd name="T35" fmla="*/ 343 w 343"/>
                                <a:gd name="T36" fmla="*/ 8 h 8"/>
                              </a:gdLst>
                              <a:ahLst/>
                              <a:cxnLst>
                                <a:cxn ang="T22">
                                  <a:pos x="T0" y="T1"/>
                                </a:cxn>
                                <a:cxn ang="T23">
                                  <a:pos x="T2" y="T3"/>
                                </a:cxn>
                                <a:cxn ang="T24">
                                  <a:pos x="T4" y="T5"/>
                                </a:cxn>
                                <a:cxn ang="T25">
                                  <a:pos x="T6" y="T7"/>
                                </a:cxn>
                                <a:cxn ang="T26">
                                  <a:pos x="T8" y="T9"/>
                                </a:cxn>
                                <a:cxn ang="T27">
                                  <a:pos x="T10" y="T11"/>
                                </a:cxn>
                                <a:cxn ang="T28">
                                  <a:pos x="T12" y="T13"/>
                                </a:cxn>
                                <a:cxn ang="T29">
                                  <a:pos x="T14" y="T15"/>
                                </a:cxn>
                                <a:cxn ang="T30">
                                  <a:pos x="T16" y="T17"/>
                                </a:cxn>
                                <a:cxn ang="T31">
                                  <a:pos x="T18" y="T19"/>
                                </a:cxn>
                                <a:cxn ang="T32">
                                  <a:pos x="T20" y="T21"/>
                                </a:cxn>
                              </a:cxnLst>
                              <a:rect l="T33" t="T34" r="T35" b="T36"/>
                              <a:pathLst>
                                <a:path w="343" h="8">
                                  <a:moveTo>
                                    <a:pt x="0" y="3"/>
                                  </a:moveTo>
                                  <a:cubicBezTo>
                                    <a:pt x="12" y="4"/>
                                    <a:pt x="14" y="5"/>
                                    <a:pt x="26" y="4"/>
                                  </a:cubicBezTo>
                                  <a:cubicBezTo>
                                    <a:pt x="32" y="0"/>
                                    <a:pt x="39" y="1"/>
                                    <a:pt x="45" y="5"/>
                                  </a:cubicBezTo>
                                  <a:cubicBezTo>
                                    <a:pt x="79" y="2"/>
                                    <a:pt x="114" y="5"/>
                                    <a:pt x="148" y="4"/>
                                  </a:cubicBezTo>
                                  <a:cubicBezTo>
                                    <a:pt x="168" y="6"/>
                                    <a:pt x="187" y="6"/>
                                    <a:pt x="207" y="8"/>
                                  </a:cubicBezTo>
                                  <a:cubicBezTo>
                                    <a:pt x="213" y="7"/>
                                    <a:pt x="223" y="3"/>
                                    <a:pt x="223" y="3"/>
                                  </a:cubicBezTo>
                                  <a:cubicBezTo>
                                    <a:pt x="233" y="4"/>
                                    <a:pt x="241" y="5"/>
                                    <a:pt x="251" y="6"/>
                                  </a:cubicBezTo>
                                  <a:cubicBezTo>
                                    <a:pt x="260" y="5"/>
                                    <a:pt x="270" y="6"/>
                                    <a:pt x="279" y="3"/>
                                  </a:cubicBezTo>
                                  <a:cubicBezTo>
                                    <a:pt x="286" y="3"/>
                                    <a:pt x="294" y="3"/>
                                    <a:pt x="301" y="4"/>
                                  </a:cubicBezTo>
                                  <a:cubicBezTo>
                                    <a:pt x="303" y="4"/>
                                    <a:pt x="307" y="6"/>
                                    <a:pt x="307" y="6"/>
                                  </a:cubicBezTo>
                                  <a:cubicBezTo>
                                    <a:pt x="321" y="6"/>
                                    <a:pt x="331" y="2"/>
                                    <a:pt x="343" y="2"/>
                                  </a:cubicBezTo>
                                </a:path>
                              </a:pathLst>
                            </a:custGeom>
                            <a:noFill/>
                            <a:ln w="38100">
                              <a:solidFill>
                                <a:srgbClr val="000000"/>
                              </a:solidFill>
                              <a:round/>
                              <a:headEnd/>
                              <a:tailEnd/>
                            </a:ln>
                          </xdr:spPr>
                          <xdr:txBody>
                            <a:bodyPr vert="horz" wrap="square" lIns="91440" tIns="45720" rIns="91440" bIns="45720" numCol="1" anchor="t" anchorCtr="0" compatLnSpc="1">
                              <a:prstTxWarp prst="textNoShape">
                                <a:avLst/>
                              </a:prstTxWarp>
                            </a:bodyPr>
                            <a:lstStyle>
                              <a:defPPr>
                                <a:defRPr lang="en-US"/>
                              </a:defPPr>
                              <a:lvl1pPr marL="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marL="0" marR="0" lvl="0" indent="0" algn="l" defTabSz="914400" rtl="0" eaLnBrk="1" fontAlgn="base" latinLnBrk="0" hangingPunct="1">
                                <a:lnSpc>
                                  <a:spcPct val="100000"/>
                                </a:lnSpc>
                                <a:spcBef>
                                  <a:spcPct val="0"/>
                                </a:spcBef>
                                <a:spcAft>
                                  <a:spcPct val="0"/>
                                </a:spcAft>
                                <a:buClrTx/>
                                <a:buSzTx/>
                                <a:buFontTx/>
                                <a:buNone/>
                                <a:tabLst/>
                              </a:pPr>
                              <a:endParaRPr kumimoji="0" lang="en-US" sz="18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Arial" pitchFamily="34" charset="0"/>
                                <a:cs typeface="Arial" pitchFamily="34" charset="0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67" name="Freeform 117">
                              <a:extLst>
                                <a:ext uri="{FF2B5EF4-FFF2-40B4-BE49-F238E27FC236}">
                                  <a16:creationId xmlns:a16="http://schemas.microsoft.com/office/drawing/2014/main" id="{00000000-0008-0000-0900-000043000000}"/>
                                </a:ext>
                              </a:extLst>
                            </xdr:cNvPr>
                            <xdr:cNvSpPr>
                              <a:spLocks/>
                            </xdr:cNvSpPr>
                          </xdr:nvSpPr>
                          <xdr:spPr bwMode="auto">
                            <a:xfrm>
                              <a:off x="503" y="2518"/>
                              <a:ext cx="405" cy="8"/>
                            </a:xfrm>
                            <a:custGeom>
                              <a:avLst/>
                              <a:gdLst>
                                <a:gd name="T0" fmla="*/ 0 w 369"/>
                                <a:gd name="T1" fmla="*/ 2147483647 h 7"/>
                                <a:gd name="T2" fmla="*/ 2147483647 w 369"/>
                                <a:gd name="T3" fmla="*/ 2147483647 h 7"/>
                                <a:gd name="T4" fmla="*/ 2147483647 w 369"/>
                                <a:gd name="T5" fmla="*/ 2147483647 h 7"/>
                                <a:gd name="T6" fmla="*/ 2147483647 w 369"/>
                                <a:gd name="T7" fmla="*/ 2147483647 h 7"/>
                                <a:gd name="T8" fmla="*/ 2147483647 w 369"/>
                                <a:gd name="T9" fmla="*/ 0 h 7"/>
                                <a:gd name="T10" fmla="*/ 2147483647 w 369"/>
                                <a:gd name="T11" fmla="*/ 2147483647 h 7"/>
                                <a:gd name="T12" fmla="*/ 0 60000 65536"/>
                                <a:gd name="T13" fmla="*/ 0 60000 65536"/>
                                <a:gd name="T14" fmla="*/ 0 60000 65536"/>
                                <a:gd name="T15" fmla="*/ 0 60000 65536"/>
                                <a:gd name="T16" fmla="*/ 0 60000 65536"/>
                                <a:gd name="T17" fmla="*/ 0 60000 65536"/>
                                <a:gd name="T18" fmla="*/ 0 w 369"/>
                                <a:gd name="T19" fmla="*/ 0 h 7"/>
                                <a:gd name="T20" fmla="*/ 369 w 369"/>
                                <a:gd name="T21" fmla="*/ 7 h 7"/>
                              </a:gdLst>
                              <a:ahLst/>
                              <a:cxnLst>
                                <a:cxn ang="T12">
                                  <a:pos x="T0" y="T1"/>
                                </a:cxn>
                                <a:cxn ang="T13">
                                  <a:pos x="T2" y="T3"/>
                                </a:cxn>
                                <a:cxn ang="T14">
                                  <a:pos x="T4" y="T5"/>
                                </a:cxn>
                                <a:cxn ang="T15">
                                  <a:pos x="T6" y="T7"/>
                                </a:cxn>
                                <a:cxn ang="T16">
                                  <a:pos x="T8" y="T9"/>
                                </a:cxn>
                                <a:cxn ang="T17">
                                  <a:pos x="T10" y="T11"/>
                                </a:cxn>
                              </a:cxnLst>
                              <a:rect l="T18" t="T19" r="T20" b="T21"/>
                              <a:pathLst>
                                <a:path w="369" h="7">
                                  <a:moveTo>
                                    <a:pt x="0" y="3"/>
                                  </a:moveTo>
                                  <a:cubicBezTo>
                                    <a:pt x="10" y="5"/>
                                    <a:pt x="17" y="6"/>
                                    <a:pt x="28" y="7"/>
                                  </a:cubicBezTo>
                                  <a:cubicBezTo>
                                    <a:pt x="63" y="5"/>
                                    <a:pt x="92" y="4"/>
                                    <a:pt x="129" y="3"/>
                                  </a:cubicBezTo>
                                  <a:cubicBezTo>
                                    <a:pt x="160" y="0"/>
                                    <a:pt x="191" y="3"/>
                                    <a:pt x="222" y="4"/>
                                  </a:cubicBezTo>
                                  <a:cubicBezTo>
                                    <a:pt x="249" y="7"/>
                                    <a:pt x="277" y="2"/>
                                    <a:pt x="304" y="0"/>
                                  </a:cubicBezTo>
                                  <a:cubicBezTo>
                                    <a:pt x="326" y="1"/>
                                    <a:pt x="347" y="4"/>
                                    <a:pt x="369" y="4"/>
                                  </a:cubicBezTo>
                                </a:path>
                              </a:pathLst>
                            </a:custGeom>
                            <a:noFill/>
                            <a:ln w="38100">
                              <a:solidFill>
                                <a:srgbClr val="000000"/>
                              </a:solidFill>
                              <a:round/>
                              <a:headEnd/>
                              <a:tailEnd/>
                            </a:ln>
                          </xdr:spPr>
                          <xdr:txBody>
                            <a:bodyPr vert="horz" wrap="square" lIns="91440" tIns="45720" rIns="91440" bIns="45720" numCol="1" anchor="t" anchorCtr="0" compatLnSpc="1">
                              <a:prstTxWarp prst="textNoShape">
                                <a:avLst/>
                              </a:prstTxWarp>
                            </a:bodyPr>
                            <a:lstStyle>
                              <a:defPPr>
                                <a:defRPr lang="en-US"/>
                              </a:defPPr>
                              <a:lvl1pPr marL="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marL="0" marR="0" lvl="0" indent="0" algn="l" defTabSz="914400" rtl="0" eaLnBrk="1" fontAlgn="base" latinLnBrk="0" hangingPunct="1">
                                <a:lnSpc>
                                  <a:spcPct val="100000"/>
                                </a:lnSpc>
                                <a:spcBef>
                                  <a:spcPct val="0"/>
                                </a:spcBef>
                                <a:spcAft>
                                  <a:spcPct val="0"/>
                                </a:spcAft>
                                <a:buClrTx/>
                                <a:buSzTx/>
                                <a:buFontTx/>
                                <a:buNone/>
                                <a:tabLst/>
                              </a:pPr>
                              <a:endParaRPr kumimoji="0" lang="en-US" sz="18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Arial" pitchFamily="34" charset="0"/>
                                <a:cs typeface="Arial" pitchFamily="34" charset="0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68" name="Freeform 118">
                              <a:extLst>
                                <a:ext uri="{FF2B5EF4-FFF2-40B4-BE49-F238E27FC236}">
                                  <a16:creationId xmlns:a16="http://schemas.microsoft.com/office/drawing/2014/main" id="{00000000-0008-0000-0900-000044000000}"/>
                                </a:ext>
                              </a:extLst>
                            </xdr:cNvPr>
                            <xdr:cNvSpPr>
                              <a:spLocks/>
                            </xdr:cNvSpPr>
                          </xdr:nvSpPr>
                          <xdr:spPr bwMode="auto">
                            <a:xfrm>
                              <a:off x="882" y="2518"/>
                              <a:ext cx="481" cy="15"/>
                            </a:xfrm>
                            <a:custGeom>
                              <a:avLst/>
                              <a:gdLst>
                                <a:gd name="T0" fmla="*/ 0 w 376"/>
                                <a:gd name="T1" fmla="*/ 2147483647 h 17"/>
                                <a:gd name="T2" fmla="*/ 2147483647 w 376"/>
                                <a:gd name="T3" fmla="*/ 2147483647 h 17"/>
                                <a:gd name="T4" fmla="*/ 2147483647 w 376"/>
                                <a:gd name="T5" fmla="*/ 2147483647 h 17"/>
                                <a:gd name="T6" fmla="*/ 2147483647 w 376"/>
                                <a:gd name="T7" fmla="*/ 2147483647 h 17"/>
                                <a:gd name="T8" fmla="*/ 2147483647 w 376"/>
                                <a:gd name="T9" fmla="*/ 2147483647 h 17"/>
                                <a:gd name="T10" fmla="*/ 2147483647 w 376"/>
                                <a:gd name="T11" fmla="*/ 2147483647 h 17"/>
                                <a:gd name="T12" fmla="*/ 0 60000 65536"/>
                                <a:gd name="T13" fmla="*/ 0 60000 65536"/>
                                <a:gd name="T14" fmla="*/ 0 60000 65536"/>
                                <a:gd name="T15" fmla="*/ 0 60000 65536"/>
                                <a:gd name="T16" fmla="*/ 0 60000 65536"/>
                                <a:gd name="T17" fmla="*/ 0 60000 65536"/>
                                <a:gd name="T18" fmla="*/ 0 w 376"/>
                                <a:gd name="T19" fmla="*/ 0 h 17"/>
                                <a:gd name="T20" fmla="*/ 376 w 376"/>
                                <a:gd name="T21" fmla="*/ 17 h 17"/>
                              </a:gdLst>
                              <a:ahLst/>
                              <a:cxnLst>
                                <a:cxn ang="T12">
                                  <a:pos x="T0" y="T1"/>
                                </a:cxn>
                                <a:cxn ang="T13">
                                  <a:pos x="T2" y="T3"/>
                                </a:cxn>
                                <a:cxn ang="T14">
                                  <a:pos x="T4" y="T5"/>
                                </a:cxn>
                                <a:cxn ang="T15">
                                  <a:pos x="T6" y="T7"/>
                                </a:cxn>
                                <a:cxn ang="T16">
                                  <a:pos x="T8" y="T9"/>
                                </a:cxn>
                                <a:cxn ang="T17">
                                  <a:pos x="T10" y="T11"/>
                                </a:cxn>
                              </a:cxnLst>
                              <a:rect l="T18" t="T19" r="T20" b="T21"/>
                              <a:pathLst>
                                <a:path w="376" h="17">
                                  <a:moveTo>
                                    <a:pt x="0" y="5"/>
                                  </a:moveTo>
                                  <a:cubicBezTo>
                                    <a:pt x="23" y="4"/>
                                    <a:pt x="36" y="3"/>
                                    <a:pt x="59" y="4"/>
                                  </a:cubicBezTo>
                                  <a:cubicBezTo>
                                    <a:pt x="79" y="17"/>
                                    <a:pt x="111" y="6"/>
                                    <a:pt x="136" y="4"/>
                                  </a:cubicBezTo>
                                  <a:cubicBezTo>
                                    <a:pt x="184" y="7"/>
                                    <a:pt x="165" y="6"/>
                                    <a:pt x="195" y="8"/>
                                  </a:cubicBezTo>
                                  <a:cubicBezTo>
                                    <a:pt x="225" y="5"/>
                                    <a:pt x="256" y="4"/>
                                    <a:pt x="286" y="3"/>
                                  </a:cubicBezTo>
                                  <a:cubicBezTo>
                                    <a:pt x="316" y="0"/>
                                    <a:pt x="346" y="6"/>
                                    <a:pt x="376" y="6"/>
                                  </a:cubicBezTo>
                                </a:path>
                              </a:pathLst>
                            </a:custGeom>
                            <a:noFill/>
                            <a:ln w="38100">
                              <a:solidFill>
                                <a:srgbClr val="000000"/>
                              </a:solidFill>
                              <a:round/>
                              <a:headEnd/>
                              <a:tailEnd/>
                            </a:ln>
                          </xdr:spPr>
                          <xdr:txBody>
                            <a:bodyPr vert="horz" wrap="square" lIns="91440" tIns="45720" rIns="91440" bIns="45720" numCol="1" anchor="t" anchorCtr="0" compatLnSpc="1">
                              <a:prstTxWarp prst="textNoShape">
                                <a:avLst/>
                              </a:prstTxWarp>
                            </a:bodyPr>
                            <a:lstStyle>
                              <a:defPPr>
                                <a:defRPr lang="en-US"/>
                              </a:defPPr>
                              <a:lvl1pPr marL="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pPr marL="0" marR="0" lvl="0" indent="0" algn="l" defTabSz="914400" rtl="0" eaLnBrk="1" fontAlgn="base" latinLnBrk="0" hangingPunct="1">
                                <a:lnSpc>
                                  <a:spcPct val="100000"/>
                                </a:lnSpc>
                                <a:spcBef>
                                  <a:spcPct val="0"/>
                                </a:spcBef>
                                <a:spcAft>
                                  <a:spcPct val="0"/>
                                </a:spcAft>
                                <a:buClrTx/>
                                <a:buSzTx/>
                                <a:buFontTx/>
                                <a:buNone/>
                                <a:tabLst/>
                              </a:pPr>
                              <a:endParaRPr kumimoji="0" lang="en-US" sz="18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Arial" pitchFamily="34" charset="0"/>
                                <a:cs typeface="Arial" pitchFamily="34" charset="0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70" name="Line 221">
                              <a:extLst>
                                <a:ext uri="{FF2B5EF4-FFF2-40B4-BE49-F238E27FC236}">
                                  <a16:creationId xmlns:a16="http://schemas.microsoft.com/office/drawing/2014/main" id="{00000000-0008-0000-0900-000046000000}"/>
                                </a:ext>
                              </a:extLst>
                            </xdr:cNvPr>
                            <xdr:cNvSpPr>
                              <a:spLocks noChangeShapeType="1"/>
                            </xdr:cNvSpPr>
                          </xdr:nvSpPr>
                          <xdr:spPr bwMode="auto">
                            <a:xfrm flipV="1">
                              <a:off x="217" y="2480"/>
                              <a:ext cx="472" cy="10"/>
                            </a:xfrm>
                            <a:prstGeom prst="line">
                              <a:avLst/>
                            </a:prstGeom>
                            <a:noFill/>
                            <a:ln w="19050">
                              <a:solidFill>
                                <a:srgbClr val="000000"/>
                              </a:solidFill>
                              <a:round/>
                              <a:headEnd/>
                              <a:tailEnd/>
                            </a:ln>
                          </xdr:spPr>
                          <xdr:txBody>
                            <a:bodyPr vert="horz" wrap="square" lIns="91440" tIns="45720" rIns="91440" bIns="45720" numCol="1" anchor="t" anchorCtr="0" compatLnSpc="1">
                              <a:prstTxWarp prst="textNoShape">
                                <a:avLst/>
                              </a:prstTxWarp>
                            </a:bodyPr>
                            <a:lstStyle>
                              <a:defPPr>
                                <a:defRPr lang="en-US"/>
                              </a:defPPr>
                              <a:lvl1pPr marL="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1pPr>
                              <a:lvl2pPr marL="457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2pPr>
                              <a:lvl3pPr marL="914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3pPr>
                              <a:lvl4pPr marL="1371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4pPr>
                              <a:lvl5pPr marL="18288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5pPr>
                              <a:lvl6pPr marL="22860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6pPr>
                              <a:lvl7pPr marL="27432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7pPr>
                              <a:lvl8pPr marL="32004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8pPr>
                              <a:lvl9pPr marL="3657600" algn="l" defTabSz="914400" rtl="0" eaLnBrk="1" latinLnBrk="0" hangingPunct="1">
                                <a:defRPr sz="1800" kern="1200">
                                  <a:solidFill>
                                    <a:schemeClr val="tx1"/>
                                  </a:solidFill>
                                  <a:latin typeface="+mn-lt"/>
                                  <a:ea typeface="+mn-ea"/>
                                  <a:cs typeface="+mn-cs"/>
                                </a:defRPr>
                              </a:lvl9pPr>
                            </a:lstStyle>
                            <a:p>
                              <a:endParaRPr lang="en-US"/>
                            </a:p>
                          </xdr:txBody>
                        </xdr:sp>
                      </xdr:grpSp>
                    </xdr:grpSp>
                  </xdr:grpSp>
                  <xdr:grpSp>
                    <xdr:nvGrpSpPr>
                      <xdr:cNvPr id="53" name="Group 189">
                        <a:extLst>
                          <a:ext uri="{FF2B5EF4-FFF2-40B4-BE49-F238E27FC236}">
                            <a16:creationId xmlns:a16="http://schemas.microsoft.com/office/drawing/2014/main" id="{00000000-0008-0000-0900-000035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689" y="2441"/>
                        <a:ext cx="539" cy="81"/>
                        <a:chOff x="689" y="2441"/>
                        <a:chExt cx="539" cy="81"/>
                      </a:xfrm>
                    </xdr:grpSpPr>
                    <xdr:sp macro="" textlink="">
                      <xdr:nvSpPr>
                        <xdr:cNvPr id="54" name="Line 121">
                          <a:extLst>
                            <a:ext uri="{FF2B5EF4-FFF2-40B4-BE49-F238E27FC236}">
                              <a16:creationId xmlns:a16="http://schemas.microsoft.com/office/drawing/2014/main" id="{00000000-0008-0000-0900-000036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1082" y="2441"/>
                          <a:ext cx="146" cy="81"/>
                        </a:xfrm>
                        <a:prstGeom prst="line">
                          <a:avLst/>
                        </a:prstGeom>
                        <a:noFill/>
                        <a:ln w="9525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8" name="Line 224">
                          <a:extLst>
                            <a:ext uri="{FF2B5EF4-FFF2-40B4-BE49-F238E27FC236}">
                              <a16:creationId xmlns:a16="http://schemas.microsoft.com/office/drawing/2014/main" id="{00000000-0008-0000-0900-00003A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689" y="2480"/>
                          <a:ext cx="466" cy="5"/>
                        </a:xfrm>
                        <a:prstGeom prst="line">
                          <a:avLst/>
                        </a:prstGeom>
                        <a:ln w="19050">
                          <a:headEnd/>
                          <a:tailEnd/>
                        </a:ln>
                      </xdr:spPr>
                      <xdr:style>
                        <a:lnRef idx="1">
                          <a:schemeClr val="dk1"/>
                        </a:lnRef>
                        <a:fillRef idx="0">
                          <a:schemeClr val="dk1"/>
                        </a:fillRef>
                        <a:effectRef idx="0">
                          <a:schemeClr val="dk1"/>
                        </a:effectRef>
                        <a:fontRef idx="minor">
                          <a:schemeClr val="tx1"/>
                        </a:fontRef>
                      </xdr:style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</xdr:grpSp>
                </xdr:grpSp>
              </xdr:grpSp>
              <xdr:sp macro="" textlink="">
                <xdr:nvSpPr>
                  <xdr:cNvPr id="46" name="Text Box 196">
                    <a:extLst>
                      <a:ext uri="{FF2B5EF4-FFF2-40B4-BE49-F238E27FC236}">
                        <a16:creationId xmlns:a16="http://schemas.microsoft.com/office/drawing/2014/main" id="{00000000-0008-0000-0900-00002E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8" y="2566"/>
                    <a:ext cx="104" cy="38"/>
                  </a:xfrm>
                  <a:prstGeom prst="rect">
                    <a:avLst/>
                  </a:prstGeom>
                  <a:noFill/>
                  <a:ln w="9525" algn="ctr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l" defTabSz="914400" rtl="0" eaLnBrk="1" fontAlgn="base" latinLnBrk="0" hangingPunct="1">
                      <a:lnSpc>
                        <a:spcPct val="10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r>
                      <a:rPr kumimoji="0" lang="en-US" sz="16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TH SarabunPSK" pitchFamily="34" charset="-34"/>
                        <a:cs typeface="TH SarabunPSK" pitchFamily="34" charset="-34"/>
                      </a:rPr>
                      <a:t>ระดับดินเดิม</a:t>
                    </a:r>
                  </a:p>
                </xdr:txBody>
              </xdr:sp>
              <xdr:sp macro="" textlink="">
                <xdr:nvSpPr>
                  <xdr:cNvPr id="47" name="Text Box 197">
                    <a:extLst>
                      <a:ext uri="{FF2B5EF4-FFF2-40B4-BE49-F238E27FC236}">
                        <a16:creationId xmlns:a16="http://schemas.microsoft.com/office/drawing/2014/main" id="{00000000-0008-0000-0900-00002F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581" y="2479"/>
                    <a:ext cx="64" cy="38"/>
                  </a:xfrm>
                  <a:prstGeom prst="rect">
                    <a:avLst/>
                  </a:prstGeom>
                  <a:noFill/>
                  <a:ln w="9525" algn="ctr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l" defTabSz="914400" rtl="0" eaLnBrk="1" fontAlgn="base" latinLnBrk="0" hangingPunct="1">
                      <a:lnSpc>
                        <a:spcPct val="10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r>
                      <a:rPr kumimoji="0" lang="en-US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TH SarabunPSK" pitchFamily="34" charset="-34"/>
                        <a:cs typeface="TH SarabunPSK" pitchFamily="34" charset="-34"/>
                      </a:rPr>
                      <a:t>Slope </a:t>
                    </a:r>
                  </a:p>
                </xdr:txBody>
              </xdr:sp>
              <xdr:sp macro="" textlink="">
                <xdr:nvSpPr>
                  <xdr:cNvPr id="48" name="Text Box 198">
                    <a:extLst>
                      <a:ext uri="{FF2B5EF4-FFF2-40B4-BE49-F238E27FC236}">
                        <a16:creationId xmlns:a16="http://schemas.microsoft.com/office/drawing/2014/main" id="{00000000-0008-0000-0900-000030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768" y="2479"/>
                    <a:ext cx="104" cy="38"/>
                  </a:xfrm>
                  <a:prstGeom prst="rect">
                    <a:avLst/>
                  </a:prstGeom>
                  <a:noFill/>
                  <a:ln w="9525" algn="ctr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0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r>
                      <a:rPr kumimoji="0" lang="en-US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TH SarabunPSK" pitchFamily="34" charset="-34"/>
                        <a:cs typeface="TH SarabunPSK" pitchFamily="34" charset="-34"/>
                      </a:rPr>
                      <a:t>Slope    </a:t>
                    </a:r>
                  </a:p>
                </xdr:txBody>
              </xdr:sp>
              <xdr:sp macro="" textlink="">
                <xdr:nvSpPr>
                  <xdr:cNvPr id="49" name="Text Box 199">
                    <a:extLst>
                      <a:ext uri="{FF2B5EF4-FFF2-40B4-BE49-F238E27FC236}">
                        <a16:creationId xmlns:a16="http://schemas.microsoft.com/office/drawing/2014/main" id="{00000000-0008-0000-0900-000031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981" y="2484"/>
                    <a:ext cx="104" cy="38"/>
                  </a:xfrm>
                  <a:prstGeom prst="rect">
                    <a:avLst/>
                  </a:prstGeom>
                  <a:noFill/>
                  <a:ln w="9525" algn="ctr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0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r>
                      <a:rPr kumimoji="0" lang="en-US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TH SarabunPSK" pitchFamily="34" charset="-34"/>
                        <a:cs typeface="TH SarabunPSK" pitchFamily="34" charset="-34"/>
                      </a:rPr>
                      <a:t>Slope  </a:t>
                    </a:r>
                  </a:p>
                </xdr:txBody>
              </xdr:sp>
            </xdr:grpSp>
            <xdr:sp macro="" textlink="">
              <xdr:nvSpPr>
                <xdr:cNvPr id="37" name="Text Box 102">
                  <a:extLst>
                    <a:ext uri="{FF2B5EF4-FFF2-40B4-BE49-F238E27FC236}">
                      <a16:creationId xmlns:a16="http://schemas.microsoft.com/office/drawing/2014/main" id="{00000000-0008-0000-0900-00002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 rot="19876519">
                  <a:off x="126351" y="3359019"/>
                  <a:ext cx="990600" cy="361950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Side  Slope</a:t>
                  </a:r>
                </a:p>
              </xdr:txBody>
            </xdr:sp>
            <xdr:sp macro="" textlink="">
              <xdr:nvSpPr>
                <xdr:cNvPr id="38" name="Text Box 102">
                  <a:extLst>
                    <a:ext uri="{FF2B5EF4-FFF2-40B4-BE49-F238E27FC236}">
                      <a16:creationId xmlns:a16="http://schemas.microsoft.com/office/drawing/2014/main" id="{00000000-0008-0000-0900-00002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 rot="1635884">
                  <a:off x="9125300" y="3389051"/>
                  <a:ext cx="990600" cy="361950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Side  Slope</a:t>
                  </a:r>
                </a:p>
              </xdr:txBody>
            </xdr:sp>
            <xdr:sp macro="" textlink="">
              <xdr:nvSpPr>
                <xdr:cNvPr id="39" name="Line 407">
                  <a:extLst>
                    <a:ext uri="{FF2B5EF4-FFF2-40B4-BE49-F238E27FC236}">
                      <a16:creationId xmlns:a16="http://schemas.microsoft.com/office/drawing/2014/main" id="{00000000-0008-0000-0900-000027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5047312" y="1785926"/>
                  <a:ext cx="0" cy="264795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prstDash val="lgDashDot"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34" name="Line 220">
                <a:extLst>
                  <a:ext uri="{FF2B5EF4-FFF2-40B4-BE49-F238E27FC236}">
                    <a16:creationId xmlns:a16="http://schemas.microsoft.com/office/drawing/2014/main" id="{00000000-0008-0000-0900-00002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3611493" y="30051425"/>
                <a:ext cx="4406675" cy="133300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35" name="Line 222">
                <a:extLst>
                  <a:ext uri="{FF2B5EF4-FFF2-40B4-BE49-F238E27FC236}">
                    <a16:creationId xmlns:a16="http://schemas.microsoft.com/office/drawing/2014/main" id="{00000000-0008-0000-0900-00002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8025886" y="30053127"/>
                <a:ext cx="4617180" cy="103023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150" name="Line 174">
              <a:extLst>
                <a:ext uri="{FF2B5EF4-FFF2-40B4-BE49-F238E27FC236}">
                  <a16:creationId xmlns:a16="http://schemas.microsoft.com/office/drawing/2014/main" id="{00000000-0008-0000-0900-000096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433020" y="30972432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73" name="Line 174">
              <a:extLst>
                <a:ext uri="{FF2B5EF4-FFF2-40B4-BE49-F238E27FC236}">
                  <a16:creationId xmlns:a16="http://schemas.microsoft.com/office/drawing/2014/main" id="{00000000-0008-0000-0900-0000AD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388351" y="31052574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176" name="Line 161">
            <a:extLst>
              <a:ext uri="{FF2B5EF4-FFF2-40B4-BE49-F238E27FC236}">
                <a16:creationId xmlns:a16="http://schemas.microsoft.com/office/drawing/2014/main" id="{00000000-0008-0000-0900-0000B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363081" y="30891543"/>
            <a:ext cx="289374" cy="29961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7" name="Line 171">
            <a:extLst>
              <a:ext uri="{FF2B5EF4-FFF2-40B4-BE49-F238E27FC236}">
                <a16:creationId xmlns:a16="http://schemas.microsoft.com/office/drawing/2014/main" id="{00000000-0008-0000-0900-0000B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501743" y="31051500"/>
            <a:ext cx="139837" cy="149806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12</xdr:col>
      <xdr:colOff>616455</xdr:colOff>
      <xdr:row>93</xdr:row>
      <xdr:rowOff>252989</xdr:rowOff>
    </xdr:from>
    <xdr:to>
      <xdr:col>13</xdr:col>
      <xdr:colOff>543075</xdr:colOff>
      <xdr:row>104</xdr:row>
      <xdr:rowOff>175307</xdr:rowOff>
    </xdr:to>
    <xdr:grpSp>
      <xdr:nvGrpSpPr>
        <xdr:cNvPr id="6" name="Group 1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>
          <a:grpSpLocks/>
        </xdr:cNvGrpSpPr>
      </xdr:nvGrpSpPr>
      <xdr:grpSpPr bwMode="auto">
        <a:xfrm>
          <a:off x="10242308" y="30979518"/>
          <a:ext cx="643796" cy="3373730"/>
          <a:chOff x="849" y="2443"/>
          <a:chExt cx="44" cy="280"/>
        </a:xfrm>
      </xdr:grpSpPr>
      <xdr:sp macro="" textlink="">
        <xdr:nvSpPr>
          <xdr:cNvPr id="8" name="Line 250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65" y="2443"/>
            <a:ext cx="0" cy="278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9" name="Line 251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49" y="2475"/>
            <a:ext cx="0" cy="24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0" name="Line 586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>
            <a:spLocks noChangeShapeType="1"/>
          </xdr:cNvSpPr>
        </xdr:nvSpPr>
        <xdr:spPr bwMode="auto">
          <a:xfrm>
            <a:off x="849" y="2723"/>
            <a:ext cx="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294089</xdr:colOff>
      <xdr:row>93</xdr:row>
      <xdr:rowOff>40821</xdr:rowOff>
    </xdr:from>
    <xdr:to>
      <xdr:col>13</xdr:col>
      <xdr:colOff>653605</xdr:colOff>
      <xdr:row>101</xdr:row>
      <xdr:rowOff>182278</xdr:rowOff>
    </xdr:to>
    <xdr:grpSp>
      <xdr:nvGrpSpPr>
        <xdr:cNvPr id="145" name="Group 5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GrpSpPr>
          <a:grpSpLocks/>
        </xdr:cNvGrpSpPr>
      </xdr:nvGrpSpPr>
      <xdr:grpSpPr bwMode="auto">
        <a:xfrm>
          <a:off x="10637118" y="30767350"/>
          <a:ext cx="359516" cy="2651575"/>
          <a:chOff x="916" y="2412"/>
          <a:chExt cx="21" cy="222"/>
        </a:xfrm>
      </xdr:grpSpPr>
      <xdr:sp macro="" textlink="">
        <xdr:nvSpPr>
          <xdr:cNvPr id="146" name="Line 253">
            <a:extLst>
              <a:ext uri="{FF2B5EF4-FFF2-40B4-BE49-F238E27FC236}">
                <a16:creationId xmlns:a16="http://schemas.microsoft.com/office/drawing/2014/main" id="{00000000-0008-0000-0900-000092000000}"/>
              </a:ext>
            </a:extLst>
          </xdr:cNvPr>
          <xdr:cNvSpPr>
            <a:spLocks noChangeShapeType="1"/>
          </xdr:cNvSpPr>
        </xdr:nvSpPr>
        <xdr:spPr bwMode="auto">
          <a:xfrm>
            <a:off x="916" y="2634"/>
            <a:ext cx="21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7" name="Line 384">
            <a:extLst>
              <a:ext uri="{FF2B5EF4-FFF2-40B4-BE49-F238E27FC236}">
                <a16:creationId xmlns:a16="http://schemas.microsoft.com/office/drawing/2014/main" id="{00000000-0008-0000-0900-00009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16" y="2412"/>
            <a:ext cx="0" cy="2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18</xdr:col>
      <xdr:colOff>419358</xdr:colOff>
      <xdr:row>91</xdr:row>
      <xdr:rowOff>29768</xdr:rowOff>
    </xdr:from>
    <xdr:to>
      <xdr:col>19</xdr:col>
      <xdr:colOff>360218</xdr:colOff>
      <xdr:row>91</xdr:row>
      <xdr:rowOff>234084</xdr:rowOff>
    </xdr:to>
    <xdr:sp macro="" textlink="">
      <xdr:nvSpPr>
        <xdr:cNvPr id="152" name="Freeform 45575" descr="ลายเส้นบางทแยงมุมขึ้น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>
          <a:spLocks/>
        </xdr:cNvSpPr>
      </xdr:nvSpPr>
      <xdr:spPr bwMode="auto">
        <a:xfrm rot="21540000">
          <a:off x="15116433" y="29890643"/>
          <a:ext cx="626660" cy="204316"/>
        </a:xfrm>
        <a:custGeom>
          <a:avLst/>
          <a:gdLst>
            <a:gd name="connsiteX0" fmla="*/ 0 w 1162050"/>
            <a:gd name="connsiteY0" fmla="*/ 107950 h 107950"/>
            <a:gd name="connsiteX1" fmla="*/ 26988 w 1162050"/>
            <a:gd name="connsiteY1" fmla="*/ 0 h 107950"/>
            <a:gd name="connsiteX2" fmla="*/ 1162050 w 1162050"/>
            <a:gd name="connsiteY2" fmla="*/ 0 h 107950"/>
            <a:gd name="connsiteX3" fmla="*/ 1135063 w 1162050"/>
            <a:gd name="connsiteY3" fmla="*/ 107950 h 107950"/>
            <a:gd name="connsiteX4" fmla="*/ 0 w 1162050"/>
            <a:gd name="connsiteY4" fmla="*/ 107950 h 107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62050" h="107950">
              <a:moveTo>
                <a:pt x="0" y="107950"/>
              </a:moveTo>
              <a:lnTo>
                <a:pt x="26988" y="0"/>
              </a:lnTo>
              <a:lnTo>
                <a:pt x="1162050" y="0"/>
              </a:lnTo>
              <a:lnTo>
                <a:pt x="1135063" y="107950"/>
              </a:lnTo>
              <a:lnTo>
                <a:pt x="0" y="107950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435507</xdr:colOff>
      <xdr:row>93</xdr:row>
      <xdr:rowOff>306560</xdr:rowOff>
    </xdr:from>
    <xdr:to>
      <xdr:col>7</xdr:col>
      <xdr:colOff>390074</xdr:colOff>
      <xdr:row>104</xdr:row>
      <xdr:rowOff>176893</xdr:rowOff>
    </xdr:to>
    <xdr:grpSp>
      <xdr:nvGrpSpPr>
        <xdr:cNvPr id="11" name="Group 15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>
          <a:grpSpLocks/>
        </xdr:cNvGrpSpPr>
      </xdr:nvGrpSpPr>
      <xdr:grpSpPr bwMode="auto">
        <a:xfrm>
          <a:off x="5063536" y="31033089"/>
          <a:ext cx="750185" cy="3321745"/>
          <a:chOff x="849" y="2443"/>
          <a:chExt cx="57" cy="279"/>
        </a:xfrm>
      </xdr:grpSpPr>
      <xdr:sp macro="" textlink="">
        <xdr:nvSpPr>
          <xdr:cNvPr id="13" name="Line 250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65" y="2443"/>
            <a:ext cx="0" cy="278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4" name="Line 251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49" y="2475"/>
            <a:ext cx="0" cy="24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5" name="Line 586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>
            <a:spLocks noChangeShapeType="1"/>
          </xdr:cNvSpPr>
        </xdr:nvSpPr>
        <xdr:spPr bwMode="auto">
          <a:xfrm>
            <a:off x="849" y="2722"/>
            <a:ext cx="5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180975</xdr:colOff>
      <xdr:row>92</xdr:row>
      <xdr:rowOff>284163</xdr:rowOff>
    </xdr:from>
    <xdr:to>
      <xdr:col>15</xdr:col>
      <xdr:colOff>295275</xdr:colOff>
      <xdr:row>93</xdr:row>
      <xdr:rowOff>19050</xdr:rowOff>
    </xdr:to>
    <xdr:sp macro="" textlink="">
      <xdr:nvSpPr>
        <xdr:cNvPr id="179" name="รูปแบบอิสระ 17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/>
      </xdr:nvSpPr>
      <xdr:spPr>
        <a:xfrm>
          <a:off x="6657975" y="30459363"/>
          <a:ext cx="5133975" cy="49212"/>
        </a:xfrm>
        <a:custGeom>
          <a:avLst/>
          <a:gdLst>
            <a:gd name="connsiteX0" fmla="*/ 0 w 5133975"/>
            <a:gd name="connsiteY0" fmla="*/ 49212 h 49212"/>
            <a:gd name="connsiteX1" fmla="*/ 2571750 w 5133975"/>
            <a:gd name="connsiteY1" fmla="*/ 1587 h 49212"/>
            <a:gd name="connsiteX2" fmla="*/ 5133975 w 5133975"/>
            <a:gd name="connsiteY2" fmla="*/ 39687 h 49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33975" h="49212">
              <a:moveTo>
                <a:pt x="0" y="49212"/>
              </a:moveTo>
              <a:lnTo>
                <a:pt x="2571750" y="1587"/>
              </a:lnTo>
              <a:cubicBezTo>
                <a:pt x="3427413" y="0"/>
                <a:pt x="4280694" y="19843"/>
                <a:pt x="5133975" y="39687"/>
              </a:cubicBezTo>
            </a:path>
          </a:pathLst>
        </a:cu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6</xdr:col>
      <xdr:colOff>658585</xdr:colOff>
      <xdr:row>92</xdr:row>
      <xdr:rowOff>176893</xdr:rowOff>
    </xdr:from>
    <xdr:to>
      <xdr:col>17</xdr:col>
      <xdr:colOff>409575</xdr:colOff>
      <xdr:row>92</xdr:row>
      <xdr:rowOff>266701</xdr:rowOff>
    </xdr:to>
    <xdr:sp macro="" textlink="">
      <xdr:nvSpPr>
        <xdr:cNvPr id="193" name="รูปแบบอิสระ 192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SpPr/>
      </xdr:nvSpPr>
      <xdr:spPr>
        <a:xfrm>
          <a:off x="5211535" y="30352093"/>
          <a:ext cx="8399690" cy="89808"/>
        </a:xfrm>
        <a:custGeom>
          <a:avLst/>
          <a:gdLst>
            <a:gd name="connsiteX0" fmla="*/ 0 w 8020050"/>
            <a:gd name="connsiteY0" fmla="*/ 28575 h 57150"/>
            <a:gd name="connsiteX1" fmla="*/ 3971925 w 8020050"/>
            <a:gd name="connsiteY1" fmla="*/ 0 h 57150"/>
            <a:gd name="connsiteX2" fmla="*/ 8020050 w 8020050"/>
            <a:gd name="connsiteY2" fmla="*/ 57150 h 57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20050" h="57150">
              <a:moveTo>
                <a:pt x="0" y="28575"/>
              </a:moveTo>
              <a:lnTo>
                <a:pt x="3971925" y="0"/>
              </a:lnTo>
              <a:cubicBezTo>
                <a:pt x="5308600" y="4762"/>
                <a:pt x="6664325" y="30956"/>
                <a:pt x="8020050" y="57150"/>
              </a:cubicBezTo>
            </a:path>
          </a:pathLst>
        </a:cu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9</xdr:col>
      <xdr:colOff>189938</xdr:colOff>
      <xdr:row>92</xdr:row>
      <xdr:rowOff>171450</xdr:rowOff>
    </xdr:from>
    <xdr:to>
      <xdr:col>15</xdr:col>
      <xdr:colOff>561975</xdr:colOff>
      <xdr:row>93</xdr:row>
      <xdr:rowOff>67235</xdr:rowOff>
    </xdr:to>
    <xdr:sp macro="" textlink="">
      <xdr:nvSpPr>
        <xdr:cNvPr id="192" name="รูปแบบอิสระ 191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SpPr/>
      </xdr:nvSpPr>
      <xdr:spPr bwMode="auto">
        <a:xfrm>
          <a:off x="6666938" y="30346650"/>
          <a:ext cx="5391712" cy="210110"/>
        </a:xfrm>
        <a:custGeom>
          <a:avLst/>
          <a:gdLst>
            <a:gd name="connsiteX0" fmla="*/ 0 w 5143500"/>
            <a:gd name="connsiteY0" fmla="*/ 28575 h 133350"/>
            <a:gd name="connsiteX1" fmla="*/ 2571750 w 5143500"/>
            <a:gd name="connsiteY1" fmla="*/ 0 h 133350"/>
            <a:gd name="connsiteX2" fmla="*/ 5143500 w 5143500"/>
            <a:gd name="connsiteY2" fmla="*/ 47625 h 133350"/>
            <a:gd name="connsiteX3" fmla="*/ 5133975 w 5143500"/>
            <a:gd name="connsiteY3" fmla="*/ 133350 h 133350"/>
            <a:gd name="connsiteX4" fmla="*/ 2571750 w 5143500"/>
            <a:gd name="connsiteY4" fmla="*/ 76200 h 133350"/>
            <a:gd name="connsiteX5" fmla="*/ 0 w 5143500"/>
            <a:gd name="connsiteY5" fmla="*/ 133350 h 133350"/>
            <a:gd name="connsiteX6" fmla="*/ 0 w 5143500"/>
            <a:gd name="connsiteY6" fmla="*/ 28575 h 133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143500" h="133350">
              <a:moveTo>
                <a:pt x="0" y="28575"/>
              </a:moveTo>
              <a:lnTo>
                <a:pt x="2571750" y="0"/>
              </a:lnTo>
              <a:lnTo>
                <a:pt x="5143500" y="47625"/>
              </a:lnTo>
              <a:lnTo>
                <a:pt x="5133975" y="133350"/>
              </a:lnTo>
              <a:lnTo>
                <a:pt x="2571750" y="76200"/>
              </a:lnTo>
              <a:lnTo>
                <a:pt x="0" y="133350"/>
              </a:lnTo>
              <a:lnTo>
                <a:pt x="0" y="28575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xdr:spPr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14</xdr:col>
      <xdr:colOff>106190</xdr:colOff>
      <xdr:row>91</xdr:row>
      <xdr:rowOff>299358</xdr:rowOff>
    </xdr:from>
    <xdr:to>
      <xdr:col>14</xdr:col>
      <xdr:colOff>528407</xdr:colOff>
      <xdr:row>98</xdr:row>
      <xdr:rowOff>196264</xdr:rowOff>
    </xdr:to>
    <xdr:grpSp>
      <xdr:nvGrpSpPr>
        <xdr:cNvPr id="188" name="Group 11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GrpSpPr>
          <a:grpSpLocks/>
        </xdr:cNvGrpSpPr>
      </xdr:nvGrpSpPr>
      <xdr:grpSpPr bwMode="auto">
        <a:xfrm>
          <a:off x="11110366" y="30398358"/>
          <a:ext cx="422217" cy="2093259"/>
          <a:chOff x="939" y="2394"/>
          <a:chExt cx="22" cy="173"/>
        </a:xfrm>
      </xdr:grpSpPr>
      <xdr:sp macro="" textlink="">
        <xdr:nvSpPr>
          <xdr:cNvPr id="189" name="Line 246">
            <a:extLst>
              <a:ext uri="{FF2B5EF4-FFF2-40B4-BE49-F238E27FC236}">
                <a16:creationId xmlns:a16="http://schemas.microsoft.com/office/drawing/2014/main" id="{00000000-0008-0000-0900-0000BD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567"/>
            <a:ext cx="13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0" name="Freeform 255">
            <a:extLst>
              <a:ext uri="{FF2B5EF4-FFF2-40B4-BE49-F238E27FC236}">
                <a16:creationId xmlns:a16="http://schemas.microsoft.com/office/drawing/2014/main" id="{00000000-0008-0000-0900-0000BE000000}"/>
              </a:ext>
            </a:extLst>
          </xdr:cNvPr>
          <xdr:cNvSpPr>
            <a:spLocks/>
          </xdr:cNvSpPr>
        </xdr:nvSpPr>
        <xdr:spPr bwMode="auto">
          <a:xfrm flipH="1">
            <a:off x="939" y="2394"/>
            <a:ext cx="9" cy="18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91" name="Line 386">
            <a:extLst>
              <a:ext uri="{FF2B5EF4-FFF2-40B4-BE49-F238E27FC236}">
                <a16:creationId xmlns:a16="http://schemas.microsoft.com/office/drawing/2014/main" id="{00000000-0008-0000-0900-0000BF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12"/>
            <a:ext cx="0" cy="15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369608</xdr:colOff>
      <xdr:row>91</xdr:row>
      <xdr:rowOff>289200</xdr:rowOff>
    </xdr:from>
    <xdr:to>
      <xdr:col>14</xdr:col>
      <xdr:colOff>579291</xdr:colOff>
      <xdr:row>97</xdr:row>
      <xdr:rowOff>193188</xdr:rowOff>
    </xdr:to>
    <xdr:grpSp>
      <xdr:nvGrpSpPr>
        <xdr:cNvPr id="138" name="Group 11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GrpSpPr>
          <a:grpSpLocks/>
        </xdr:cNvGrpSpPr>
      </xdr:nvGrpSpPr>
      <xdr:grpSpPr bwMode="auto">
        <a:xfrm>
          <a:off x="11373784" y="30388200"/>
          <a:ext cx="209683" cy="1786576"/>
          <a:chOff x="948" y="2385"/>
          <a:chExt cx="10" cy="183"/>
        </a:xfrm>
      </xdr:grpSpPr>
      <xdr:sp macro="" textlink="">
        <xdr:nvSpPr>
          <xdr:cNvPr id="139" name="Line 246">
            <a:extLst>
              <a:ext uri="{FF2B5EF4-FFF2-40B4-BE49-F238E27FC236}">
                <a16:creationId xmlns:a16="http://schemas.microsoft.com/office/drawing/2014/main" id="{00000000-0008-0000-0900-00008B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568"/>
            <a:ext cx="7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Freeform 255">
            <a:extLst>
              <a:ext uri="{FF2B5EF4-FFF2-40B4-BE49-F238E27FC236}">
                <a16:creationId xmlns:a16="http://schemas.microsoft.com/office/drawing/2014/main" id="{00000000-0008-0000-0900-00008C000000}"/>
              </a:ext>
            </a:extLst>
          </xdr:cNvPr>
          <xdr:cNvSpPr>
            <a:spLocks/>
          </xdr:cNvSpPr>
        </xdr:nvSpPr>
        <xdr:spPr bwMode="auto">
          <a:xfrm>
            <a:off x="948" y="2385"/>
            <a:ext cx="10" cy="22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ln>
            <a:headEnd type="none" w="med" len="med"/>
            <a:tailEnd type="triangle" w="med" len="med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sp>
      <xdr:sp macro="" textlink="">
        <xdr:nvSpPr>
          <xdr:cNvPr id="141" name="Line 386">
            <a:extLst>
              <a:ext uri="{FF2B5EF4-FFF2-40B4-BE49-F238E27FC236}">
                <a16:creationId xmlns:a16="http://schemas.microsoft.com/office/drawing/2014/main" id="{00000000-0008-0000-0900-00008D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07"/>
            <a:ext cx="0" cy="16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415477</xdr:colOff>
      <xdr:row>94</xdr:row>
      <xdr:rowOff>72730</xdr:rowOff>
    </xdr:from>
    <xdr:to>
      <xdr:col>29</xdr:col>
      <xdr:colOff>330406</xdr:colOff>
      <xdr:row>99</xdr:row>
      <xdr:rowOff>245295</xdr:rowOff>
    </xdr:to>
    <xdr:grpSp>
      <xdr:nvGrpSpPr>
        <xdr:cNvPr id="184" name="Group 11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GrpSpPr>
          <a:grpSpLocks/>
        </xdr:cNvGrpSpPr>
      </xdr:nvGrpSpPr>
      <xdr:grpSpPr bwMode="auto">
        <a:xfrm flipH="1">
          <a:off x="22188506" y="31113024"/>
          <a:ext cx="520047" cy="1741389"/>
          <a:chOff x="948" y="2388"/>
          <a:chExt cx="29" cy="176"/>
        </a:xfrm>
      </xdr:grpSpPr>
      <xdr:sp macro="" textlink="">
        <xdr:nvSpPr>
          <xdr:cNvPr id="185" name="Line 246">
            <a:extLst>
              <a:ext uri="{FF2B5EF4-FFF2-40B4-BE49-F238E27FC236}">
                <a16:creationId xmlns:a16="http://schemas.microsoft.com/office/drawing/2014/main" id="{00000000-0008-0000-0900-0000B9000000}"/>
              </a:ext>
            </a:extLst>
          </xdr:cNvPr>
          <xdr:cNvSpPr>
            <a:spLocks noChangeShapeType="1"/>
          </xdr:cNvSpPr>
        </xdr:nvSpPr>
        <xdr:spPr bwMode="auto">
          <a:xfrm>
            <a:off x="949" y="2564"/>
            <a:ext cx="28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6" name="Freeform 255">
            <a:extLst>
              <a:ext uri="{FF2B5EF4-FFF2-40B4-BE49-F238E27FC236}">
                <a16:creationId xmlns:a16="http://schemas.microsoft.com/office/drawing/2014/main" id="{00000000-0008-0000-0900-0000BA000000}"/>
              </a:ext>
            </a:extLst>
          </xdr:cNvPr>
          <xdr:cNvSpPr>
            <a:spLocks/>
          </xdr:cNvSpPr>
        </xdr:nvSpPr>
        <xdr:spPr bwMode="auto">
          <a:xfrm>
            <a:off x="948" y="2388"/>
            <a:ext cx="12" cy="19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87" name="Line 386">
            <a:extLst>
              <a:ext uri="{FF2B5EF4-FFF2-40B4-BE49-F238E27FC236}">
                <a16:creationId xmlns:a16="http://schemas.microsoft.com/office/drawing/2014/main" id="{00000000-0008-0000-0900-0000BB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07"/>
            <a:ext cx="0" cy="15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1538653</xdr:colOff>
      <xdr:row>91</xdr:row>
      <xdr:rowOff>285751</xdr:rowOff>
    </xdr:from>
    <xdr:to>
      <xdr:col>11</xdr:col>
      <xdr:colOff>234461</xdr:colOff>
      <xdr:row>97</xdr:row>
      <xdr:rowOff>190500</xdr:rowOff>
    </xdr:to>
    <xdr:grpSp>
      <xdr:nvGrpSpPr>
        <xdr:cNvPr id="180" name="Group 11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GrpSpPr>
          <a:grpSpLocks/>
        </xdr:cNvGrpSpPr>
      </xdr:nvGrpSpPr>
      <xdr:grpSpPr bwMode="auto">
        <a:xfrm>
          <a:off x="8755241" y="30384751"/>
          <a:ext cx="443926" cy="1787337"/>
          <a:chOff x="925" y="2389"/>
          <a:chExt cx="37" cy="178"/>
        </a:xfrm>
      </xdr:grpSpPr>
      <xdr:sp macro="" textlink="">
        <xdr:nvSpPr>
          <xdr:cNvPr id="181" name="Line 246">
            <a:extLst>
              <a:ext uri="{FF2B5EF4-FFF2-40B4-BE49-F238E27FC236}">
                <a16:creationId xmlns:a16="http://schemas.microsoft.com/office/drawing/2014/main" id="{00000000-0008-0000-0900-0000B5000000}"/>
              </a:ext>
            </a:extLst>
          </xdr:cNvPr>
          <xdr:cNvSpPr>
            <a:spLocks noChangeShapeType="1"/>
          </xdr:cNvSpPr>
        </xdr:nvSpPr>
        <xdr:spPr bwMode="auto">
          <a:xfrm>
            <a:off x="925" y="2567"/>
            <a:ext cx="23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2" name="Freeform 255">
            <a:extLst>
              <a:ext uri="{FF2B5EF4-FFF2-40B4-BE49-F238E27FC236}">
                <a16:creationId xmlns:a16="http://schemas.microsoft.com/office/drawing/2014/main" id="{00000000-0008-0000-0900-0000B6000000}"/>
              </a:ext>
            </a:extLst>
          </xdr:cNvPr>
          <xdr:cNvSpPr>
            <a:spLocks/>
          </xdr:cNvSpPr>
        </xdr:nvSpPr>
        <xdr:spPr bwMode="auto">
          <a:xfrm>
            <a:off x="948" y="2389"/>
            <a:ext cx="14" cy="14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83" name="Line 386">
            <a:extLst>
              <a:ext uri="{FF2B5EF4-FFF2-40B4-BE49-F238E27FC236}">
                <a16:creationId xmlns:a16="http://schemas.microsoft.com/office/drawing/2014/main" id="{00000000-0008-0000-0900-0000B7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03"/>
            <a:ext cx="0" cy="16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658284</xdr:colOff>
      <xdr:row>92</xdr:row>
      <xdr:rowOff>224118</xdr:rowOff>
    </xdr:from>
    <xdr:to>
      <xdr:col>14</xdr:col>
      <xdr:colOff>540109</xdr:colOff>
      <xdr:row>99</xdr:row>
      <xdr:rowOff>192896</xdr:rowOff>
    </xdr:to>
    <xdr:grpSp>
      <xdr:nvGrpSpPr>
        <xdr:cNvPr id="142" name="Group 8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GrpSpPr>
          <a:grpSpLocks/>
        </xdr:cNvGrpSpPr>
      </xdr:nvGrpSpPr>
      <xdr:grpSpPr bwMode="auto">
        <a:xfrm>
          <a:off x="11001313" y="30636883"/>
          <a:ext cx="542972" cy="2165131"/>
          <a:chOff x="931" y="2408"/>
          <a:chExt cx="31" cy="194"/>
        </a:xfrm>
      </xdr:grpSpPr>
      <xdr:sp macro="" textlink="">
        <xdr:nvSpPr>
          <xdr:cNvPr id="143" name="Line 252">
            <a:extLst>
              <a:ext uri="{FF2B5EF4-FFF2-40B4-BE49-F238E27FC236}">
                <a16:creationId xmlns:a16="http://schemas.microsoft.com/office/drawing/2014/main" id="{00000000-0008-0000-0900-00008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31" y="2602"/>
            <a:ext cx="31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4" name="Line 385">
            <a:extLst>
              <a:ext uri="{FF2B5EF4-FFF2-40B4-BE49-F238E27FC236}">
                <a16:creationId xmlns:a16="http://schemas.microsoft.com/office/drawing/2014/main" id="{00000000-0008-0000-0900-00009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31" y="2408"/>
            <a:ext cx="0" cy="19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13</xdr:col>
      <xdr:colOff>447017</xdr:colOff>
      <xdr:row>92</xdr:row>
      <xdr:rowOff>244927</xdr:rowOff>
    </xdr:from>
    <xdr:to>
      <xdr:col>14</xdr:col>
      <xdr:colOff>529002</xdr:colOff>
      <xdr:row>100</xdr:row>
      <xdr:rowOff>170942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>
          <a:grpSpLocks/>
        </xdr:cNvGrpSpPr>
      </xdr:nvGrpSpPr>
      <xdr:grpSpPr bwMode="auto">
        <a:xfrm>
          <a:off x="10790046" y="30657692"/>
          <a:ext cx="743132" cy="2436132"/>
          <a:chOff x="897" y="2412"/>
          <a:chExt cx="47" cy="281"/>
        </a:xfrm>
      </xdr:grpSpPr>
      <xdr:sp macro="" textlink="">
        <xdr:nvSpPr>
          <xdr:cNvPr id="5" name="Line 25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98" y="2693"/>
            <a:ext cx="4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Line 248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97" y="2412"/>
            <a:ext cx="0" cy="28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9</xdr:col>
      <xdr:colOff>235324</xdr:colOff>
      <xdr:row>92</xdr:row>
      <xdr:rowOff>179294</xdr:rowOff>
    </xdr:from>
    <xdr:to>
      <xdr:col>9</xdr:col>
      <xdr:colOff>606925</xdr:colOff>
      <xdr:row>92</xdr:row>
      <xdr:rowOff>184263</xdr:rowOff>
    </xdr:to>
    <xdr:cxnSp macro="">
      <xdr:nvCxnSpPr>
        <xdr:cNvPr id="194" name="ตัวเชื่อมต่อตรง 193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CxnSpPr/>
      </xdr:nvCxnSpPr>
      <xdr:spPr>
        <a:xfrm rot="10800000">
          <a:off x="6734736" y="30334323"/>
          <a:ext cx="371601" cy="4969"/>
        </a:xfrm>
        <a:prstGeom prst="line">
          <a:avLst/>
        </a:prstGeom>
        <a:ln w="3810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95249</xdr:colOff>
      <xdr:row>92</xdr:row>
      <xdr:rowOff>228185</xdr:rowOff>
    </xdr:from>
    <xdr:to>
      <xdr:col>9</xdr:col>
      <xdr:colOff>295275</xdr:colOff>
      <xdr:row>93</xdr:row>
      <xdr:rowOff>238125</xdr:rowOff>
    </xdr:to>
    <xdr:sp macro="" textlink="">
      <xdr:nvSpPr>
        <xdr:cNvPr id="220" name="รูปแบบอิสระ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SpPr/>
      </xdr:nvSpPr>
      <xdr:spPr bwMode="auto">
        <a:xfrm>
          <a:off x="4648199" y="30403385"/>
          <a:ext cx="2124076" cy="324265"/>
        </a:xfrm>
        <a:custGeom>
          <a:avLst/>
          <a:gdLst>
            <a:gd name="connsiteX0" fmla="*/ 629478 w 2087217"/>
            <a:gd name="connsiteY0" fmla="*/ 8282 h 356152"/>
            <a:gd name="connsiteX1" fmla="*/ 2078935 w 2087217"/>
            <a:gd name="connsiteY1" fmla="*/ 0 h 356152"/>
            <a:gd name="connsiteX2" fmla="*/ 2087217 w 2087217"/>
            <a:gd name="connsiteY2" fmla="*/ 314739 h 356152"/>
            <a:gd name="connsiteX3" fmla="*/ 0 w 2087217"/>
            <a:gd name="connsiteY3" fmla="*/ 356152 h 356152"/>
            <a:gd name="connsiteX4" fmla="*/ 629478 w 2087217"/>
            <a:gd name="connsiteY4" fmla="*/ 8282 h 3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87217" h="356152">
              <a:moveTo>
                <a:pt x="629478" y="8282"/>
              </a:moveTo>
              <a:lnTo>
                <a:pt x="2078935" y="0"/>
              </a:lnTo>
              <a:lnTo>
                <a:pt x="2087217" y="314739"/>
              </a:lnTo>
              <a:lnTo>
                <a:pt x="0" y="356152"/>
              </a:lnTo>
              <a:lnTo>
                <a:pt x="629478" y="8282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xdr:spPr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15</xdr:col>
      <xdr:colOff>515471</xdr:colOff>
      <xdr:row>92</xdr:row>
      <xdr:rowOff>238125</xdr:rowOff>
    </xdr:from>
    <xdr:to>
      <xdr:col>17</xdr:col>
      <xdr:colOff>847725</xdr:colOff>
      <xdr:row>93</xdr:row>
      <xdr:rowOff>219075</xdr:rowOff>
    </xdr:to>
    <xdr:sp macro="" textlink="">
      <xdr:nvSpPr>
        <xdr:cNvPr id="174" name="รูปแบบอิสระ 17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SpPr/>
      </xdr:nvSpPr>
      <xdr:spPr bwMode="auto">
        <a:xfrm>
          <a:off x="12012146" y="30413325"/>
          <a:ext cx="2037229" cy="295275"/>
        </a:xfrm>
        <a:custGeom>
          <a:avLst/>
          <a:gdLst>
            <a:gd name="connsiteX0" fmla="*/ 0 w 2028825"/>
            <a:gd name="connsiteY0" fmla="*/ 0 h 238125"/>
            <a:gd name="connsiteX1" fmla="*/ 1533525 w 2028825"/>
            <a:gd name="connsiteY1" fmla="*/ 28575 h 238125"/>
            <a:gd name="connsiteX2" fmla="*/ 2028825 w 2028825"/>
            <a:gd name="connsiteY2" fmla="*/ 238125 h 238125"/>
            <a:gd name="connsiteX3" fmla="*/ 0 w 2028825"/>
            <a:gd name="connsiteY3" fmla="*/ 219075 h 238125"/>
            <a:gd name="connsiteX4" fmla="*/ 0 w 2028825"/>
            <a:gd name="connsiteY4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28825" h="238125">
              <a:moveTo>
                <a:pt x="0" y="0"/>
              </a:moveTo>
              <a:lnTo>
                <a:pt x="1533525" y="28575"/>
              </a:lnTo>
              <a:lnTo>
                <a:pt x="2028825" y="238125"/>
              </a:lnTo>
              <a:lnTo>
                <a:pt x="0" y="219075"/>
              </a:lnTo>
              <a:lnTo>
                <a:pt x="0" y="0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xdr:spPr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7</xdr:col>
      <xdr:colOff>273448</xdr:colOff>
      <xdr:row>93</xdr:row>
      <xdr:rowOff>28816</xdr:rowOff>
    </xdr:from>
    <xdr:to>
      <xdr:col>7</xdr:col>
      <xdr:colOff>415160</xdr:colOff>
      <xdr:row>100</xdr:row>
      <xdr:rowOff>190500</xdr:rowOff>
    </xdr:to>
    <xdr:grpSp>
      <xdr:nvGrpSpPr>
        <xdr:cNvPr id="153" name="Group 5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GrpSpPr>
          <a:grpSpLocks/>
        </xdr:cNvGrpSpPr>
      </xdr:nvGrpSpPr>
      <xdr:grpSpPr bwMode="auto">
        <a:xfrm>
          <a:off x="5697095" y="30755345"/>
          <a:ext cx="141712" cy="2358037"/>
          <a:chOff x="916" y="2412"/>
          <a:chExt cx="10" cy="222"/>
        </a:xfrm>
      </xdr:grpSpPr>
      <xdr:sp macro="" textlink="">
        <xdr:nvSpPr>
          <xdr:cNvPr id="154" name="Line 253">
            <a:extLst>
              <a:ext uri="{FF2B5EF4-FFF2-40B4-BE49-F238E27FC236}">
                <a16:creationId xmlns:a16="http://schemas.microsoft.com/office/drawing/2014/main" id="{00000000-0008-0000-0900-00009A000000}"/>
              </a:ext>
            </a:extLst>
          </xdr:cNvPr>
          <xdr:cNvSpPr>
            <a:spLocks noChangeShapeType="1"/>
          </xdr:cNvSpPr>
        </xdr:nvSpPr>
        <xdr:spPr bwMode="auto">
          <a:xfrm>
            <a:off x="916" y="2634"/>
            <a:ext cx="10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5" name="Line 384">
            <a:extLst>
              <a:ext uri="{FF2B5EF4-FFF2-40B4-BE49-F238E27FC236}">
                <a16:creationId xmlns:a16="http://schemas.microsoft.com/office/drawing/2014/main" id="{00000000-0008-0000-0900-00009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16" y="2412"/>
            <a:ext cx="0" cy="2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7</xdr:col>
      <xdr:colOff>63129</xdr:colOff>
      <xdr:row>93</xdr:row>
      <xdr:rowOff>235324</xdr:rowOff>
    </xdr:from>
    <xdr:to>
      <xdr:col>7</xdr:col>
      <xdr:colOff>411061</xdr:colOff>
      <xdr:row>103</xdr:row>
      <xdr:rowOff>244928</xdr:rowOff>
    </xdr:to>
    <xdr:grpSp>
      <xdr:nvGrpSpPr>
        <xdr:cNvPr id="195" name="Group 5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GrpSpPr>
          <a:grpSpLocks/>
        </xdr:cNvGrpSpPr>
      </xdr:nvGrpSpPr>
      <xdr:grpSpPr bwMode="auto">
        <a:xfrm>
          <a:off x="5486776" y="30961853"/>
          <a:ext cx="347932" cy="3147251"/>
          <a:chOff x="916" y="2412"/>
          <a:chExt cx="13" cy="222"/>
        </a:xfrm>
      </xdr:grpSpPr>
      <xdr:sp macro="" textlink="">
        <xdr:nvSpPr>
          <xdr:cNvPr id="196" name="Line 253">
            <a:extLst>
              <a:ext uri="{FF2B5EF4-FFF2-40B4-BE49-F238E27FC236}">
                <a16:creationId xmlns:a16="http://schemas.microsoft.com/office/drawing/2014/main" id="{00000000-0008-0000-0900-0000C4000000}"/>
              </a:ext>
            </a:extLst>
          </xdr:cNvPr>
          <xdr:cNvSpPr>
            <a:spLocks noChangeShapeType="1"/>
          </xdr:cNvSpPr>
        </xdr:nvSpPr>
        <xdr:spPr bwMode="auto">
          <a:xfrm>
            <a:off x="916" y="2634"/>
            <a:ext cx="13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7" name="Line 384">
            <a:extLst>
              <a:ext uri="{FF2B5EF4-FFF2-40B4-BE49-F238E27FC236}">
                <a16:creationId xmlns:a16="http://schemas.microsoft.com/office/drawing/2014/main" id="{00000000-0008-0000-0900-0000C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16" y="2412"/>
            <a:ext cx="0" cy="2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12</xdr:col>
      <xdr:colOff>143183</xdr:colOff>
      <xdr:row>92</xdr:row>
      <xdr:rowOff>205626</xdr:rowOff>
    </xdr:from>
    <xdr:to>
      <xdr:col>13</xdr:col>
      <xdr:colOff>161756</xdr:colOff>
      <xdr:row>93</xdr:row>
      <xdr:rowOff>74506</xdr:rowOff>
    </xdr:to>
    <xdr:sp macro="" textlink="">
      <xdr:nvSpPr>
        <xdr:cNvPr id="219" name="Freeform 45575" descr="ลายเส้นบางทแยงมุมขึ้น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SpPr>
          <a:spLocks/>
        </xdr:cNvSpPr>
      </xdr:nvSpPr>
      <xdr:spPr bwMode="auto">
        <a:xfrm rot="21540000">
          <a:off x="9668183" y="30263805"/>
          <a:ext cx="739752" cy="181844"/>
        </a:xfrm>
        <a:prstGeom prst="rect">
          <a:avLst/>
        </a:prstGeom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362113</xdr:colOff>
      <xdr:row>93</xdr:row>
      <xdr:rowOff>68036</xdr:rowOff>
    </xdr:from>
    <xdr:to>
      <xdr:col>12</xdr:col>
      <xdr:colOff>312965</xdr:colOff>
      <xdr:row>98</xdr:row>
      <xdr:rowOff>190500</xdr:rowOff>
    </xdr:to>
    <xdr:grpSp>
      <xdr:nvGrpSpPr>
        <xdr:cNvPr id="202" name="Group 8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GrpSpPr>
          <a:grpSpLocks/>
        </xdr:cNvGrpSpPr>
      </xdr:nvGrpSpPr>
      <xdr:grpSpPr bwMode="auto">
        <a:xfrm>
          <a:off x="9326819" y="30794565"/>
          <a:ext cx="611999" cy="1691288"/>
          <a:chOff x="896" y="2408"/>
          <a:chExt cx="35" cy="194"/>
        </a:xfrm>
      </xdr:grpSpPr>
      <xdr:sp macro="" textlink="">
        <xdr:nvSpPr>
          <xdr:cNvPr id="203" name="Line 252">
            <a:extLst>
              <a:ext uri="{FF2B5EF4-FFF2-40B4-BE49-F238E27FC236}">
                <a16:creationId xmlns:a16="http://schemas.microsoft.com/office/drawing/2014/main" id="{00000000-0008-0000-0900-0000C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96" y="2602"/>
            <a:ext cx="35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4" name="Line 385">
            <a:extLst>
              <a:ext uri="{FF2B5EF4-FFF2-40B4-BE49-F238E27FC236}">
                <a16:creationId xmlns:a16="http://schemas.microsoft.com/office/drawing/2014/main" id="{00000000-0008-0000-0900-0000C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31" y="2408"/>
            <a:ext cx="0" cy="19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 editAs="oneCell">
    <xdr:from>
      <xdr:col>29</xdr:col>
      <xdr:colOff>216168</xdr:colOff>
      <xdr:row>57</xdr:row>
      <xdr:rowOff>244000</xdr:rowOff>
    </xdr:from>
    <xdr:to>
      <xdr:col>40</xdr:col>
      <xdr:colOff>321623</xdr:colOff>
      <xdr:row>80</xdr:row>
      <xdr:rowOff>269976</xdr:rowOff>
    </xdr:to>
    <xdr:pic>
      <xdr:nvPicPr>
        <xdr:cNvPr id="199" name="รูปภาพ 154" descr="แผนที่ภาพรวม ทางหลวงชนบท kalasin_a2.jpg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r="4096" b="26970"/>
        <a:stretch>
          <a:fillRect/>
        </a:stretch>
      </xdr:blipFill>
      <xdr:spPr bwMode="auto">
        <a:xfrm>
          <a:off x="22742793" y="19794063"/>
          <a:ext cx="6915830" cy="714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519546</xdr:colOff>
      <xdr:row>51</xdr:row>
      <xdr:rowOff>259774</xdr:rowOff>
    </xdr:from>
    <xdr:to>
      <xdr:col>10</xdr:col>
      <xdr:colOff>502228</xdr:colOff>
      <xdr:row>77</xdr:row>
      <xdr:rowOff>143424</xdr:rowOff>
    </xdr:to>
    <xdr:grpSp>
      <xdr:nvGrpSpPr>
        <xdr:cNvPr id="206" name="กลุ่ม 205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GrpSpPr/>
      </xdr:nvGrpSpPr>
      <xdr:grpSpPr>
        <a:xfrm>
          <a:off x="1684958" y="18021098"/>
          <a:ext cx="6033858" cy="8075150"/>
          <a:chOff x="1686359" y="17904837"/>
          <a:chExt cx="6054869" cy="7979900"/>
        </a:xfrm>
      </xdr:grpSpPr>
      <xdr:pic>
        <xdr:nvPicPr>
          <xdr:cNvPr id="198" name="รูปภาพ 154" descr="แผนที่ภาพรวม ทางหลวงชนบท kalasin_a2.jpg">
            <a:extLst>
              <a:ext uri="{FF2B5EF4-FFF2-40B4-BE49-F238E27FC236}">
                <a16:creationId xmlns:a16="http://schemas.microsoft.com/office/drawing/2014/main" id="{00000000-0008-0000-0900-0000C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14019" t="24590" r="8247"/>
          <a:stretch>
            <a:fillRect/>
          </a:stretch>
        </xdr:blipFill>
        <xdr:spPr bwMode="auto">
          <a:xfrm>
            <a:off x="1686359" y="17904837"/>
            <a:ext cx="6054869" cy="7979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5" name="รูปแบบอิสระ 204">
            <a:extLst>
              <a:ext uri="{FF2B5EF4-FFF2-40B4-BE49-F238E27FC236}">
                <a16:creationId xmlns:a16="http://schemas.microsoft.com/office/drawing/2014/main" id="{00000000-0008-0000-0900-0000CD000000}"/>
              </a:ext>
            </a:extLst>
          </xdr:cNvPr>
          <xdr:cNvSpPr/>
        </xdr:nvSpPr>
        <xdr:spPr>
          <a:xfrm>
            <a:off x="2840492" y="25079325"/>
            <a:ext cx="342899" cy="173492"/>
          </a:xfrm>
          <a:custGeom>
            <a:avLst/>
            <a:gdLst>
              <a:gd name="connsiteX0" fmla="*/ 0 w 353785"/>
              <a:gd name="connsiteY0" fmla="*/ 179615 h 179615"/>
              <a:gd name="connsiteX1" fmla="*/ 97971 w 353785"/>
              <a:gd name="connsiteY1" fmla="*/ 119743 h 179615"/>
              <a:gd name="connsiteX2" fmla="*/ 195943 w 353785"/>
              <a:gd name="connsiteY2" fmla="*/ 43543 h 179615"/>
              <a:gd name="connsiteX3" fmla="*/ 353785 w 353785"/>
              <a:gd name="connsiteY3" fmla="*/ 0 h 1796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53785" h="179615">
                <a:moveTo>
                  <a:pt x="0" y="179615"/>
                </a:moveTo>
                <a:cubicBezTo>
                  <a:pt x="32657" y="161018"/>
                  <a:pt x="65314" y="142422"/>
                  <a:pt x="97971" y="119743"/>
                </a:cubicBezTo>
                <a:cubicBezTo>
                  <a:pt x="130628" y="97064"/>
                  <a:pt x="153307" y="63500"/>
                  <a:pt x="195943" y="43543"/>
                </a:cubicBezTo>
                <a:cubicBezTo>
                  <a:pt x="238579" y="23586"/>
                  <a:pt x="353785" y="3628"/>
                  <a:pt x="353785" y="0"/>
                </a:cubicBezTo>
              </a:path>
            </a:pathLst>
          </a:cu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ctr"/>
            <a:endParaRPr lang="th-TH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Oval 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Oval 8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Oval 9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Oval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Oval 1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Oval 1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Oval 32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" name="Oval 33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" name="Oval 3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" name="Oval 35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" name="Oval 7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" name="Oval 8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" name="Oval 9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" name="Oval 10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" name="Oval 11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" name="Oval 12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" name="Oval 32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" name="Oval 3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" name="Oval 34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" name="Oval 35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 noChangeArrowheads="1"/>
        </xdr:cNvSpPr>
      </xdr:nvSpPr>
      <xdr:spPr bwMode="auto">
        <a:xfrm>
          <a:off x="2705100" y="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2" name="Oval 7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 noChangeArrowheads="1"/>
        </xdr:cNvSpPr>
      </xdr:nvSpPr>
      <xdr:spPr bwMode="auto">
        <a:xfrm>
          <a:off x="2705100" y="18983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3" name="Oval 8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 noChangeArrowheads="1"/>
        </xdr:cNvSpPr>
      </xdr:nvSpPr>
      <xdr:spPr bwMode="auto">
        <a:xfrm>
          <a:off x="2705100" y="18983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266</xdr:row>
      <xdr:rowOff>0</xdr:rowOff>
    </xdr:from>
    <xdr:to>
      <xdr:col>3</xdr:col>
      <xdr:colOff>0</xdr:colOff>
      <xdr:row>266</xdr:row>
      <xdr:rowOff>0</xdr:rowOff>
    </xdr:to>
    <xdr:sp macro="" textlink="">
      <xdr:nvSpPr>
        <xdr:cNvPr id="24" name="Oval 9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 noChangeArrowheads="1"/>
        </xdr:cNvSpPr>
      </xdr:nvSpPr>
      <xdr:spPr bwMode="auto">
        <a:xfrm>
          <a:off x="2705100" y="432720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266</xdr:row>
      <xdr:rowOff>0</xdr:rowOff>
    </xdr:from>
    <xdr:to>
      <xdr:col>3</xdr:col>
      <xdr:colOff>0</xdr:colOff>
      <xdr:row>266</xdr:row>
      <xdr:rowOff>0</xdr:rowOff>
    </xdr:to>
    <xdr:sp macro="" textlink="">
      <xdr:nvSpPr>
        <xdr:cNvPr id="25" name="Oval 10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>
          <a:spLocks noChangeArrowheads="1"/>
        </xdr:cNvSpPr>
      </xdr:nvSpPr>
      <xdr:spPr bwMode="auto">
        <a:xfrm>
          <a:off x="2705100" y="432720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6" name="Oval 11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>
          <a:spLocks noChangeArrowheads="1"/>
        </xdr:cNvSpPr>
      </xdr:nvSpPr>
      <xdr:spPr bwMode="auto">
        <a:xfrm>
          <a:off x="2705100" y="322611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7" name="Oval 12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>
          <a:spLocks noChangeArrowheads="1"/>
        </xdr:cNvSpPr>
      </xdr:nvSpPr>
      <xdr:spPr bwMode="auto">
        <a:xfrm>
          <a:off x="2705100" y="322611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28" name="Oval 13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>
          <a:spLocks noChangeArrowheads="1"/>
        </xdr:cNvSpPr>
      </xdr:nvSpPr>
      <xdr:spPr bwMode="auto">
        <a:xfrm>
          <a:off x="2705100" y="168783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29" name="Oval 14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2705100" y="168783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30" name="Oval 123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auto">
        <a:xfrm>
          <a:off x="2705100" y="236791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31" name="Oval 124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>
          <a:spLocks noChangeArrowheads="1"/>
        </xdr:cNvSpPr>
      </xdr:nvSpPr>
      <xdr:spPr bwMode="auto">
        <a:xfrm>
          <a:off x="2705100" y="236791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467</xdr:row>
      <xdr:rowOff>0</xdr:rowOff>
    </xdr:from>
    <xdr:to>
      <xdr:col>3</xdr:col>
      <xdr:colOff>0</xdr:colOff>
      <xdr:row>467</xdr:row>
      <xdr:rowOff>0</xdr:rowOff>
    </xdr:to>
    <xdr:sp macro="" textlink="">
      <xdr:nvSpPr>
        <xdr:cNvPr id="32" name="Oval 125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>
          <a:spLocks noChangeArrowheads="1"/>
        </xdr:cNvSpPr>
      </xdr:nvSpPr>
      <xdr:spPr bwMode="auto">
        <a:xfrm>
          <a:off x="2705100" y="757332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467</xdr:row>
      <xdr:rowOff>0</xdr:rowOff>
    </xdr:from>
    <xdr:to>
      <xdr:col>3</xdr:col>
      <xdr:colOff>0</xdr:colOff>
      <xdr:row>467</xdr:row>
      <xdr:rowOff>0</xdr:rowOff>
    </xdr:to>
    <xdr:sp macro="" textlink="">
      <xdr:nvSpPr>
        <xdr:cNvPr id="33" name="Oval 126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>
          <a:spLocks noChangeArrowheads="1"/>
        </xdr:cNvSpPr>
      </xdr:nvSpPr>
      <xdr:spPr bwMode="auto">
        <a:xfrm>
          <a:off x="2705100" y="7573327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336</xdr:row>
      <xdr:rowOff>0</xdr:rowOff>
    </xdr:from>
    <xdr:to>
      <xdr:col>3</xdr:col>
      <xdr:colOff>0</xdr:colOff>
      <xdr:row>336</xdr:row>
      <xdr:rowOff>0</xdr:rowOff>
    </xdr:to>
    <xdr:sp macro="" textlink="">
      <xdr:nvSpPr>
        <xdr:cNvPr id="34" name="Oval 127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>
          <a:spLocks noChangeArrowheads="1"/>
        </xdr:cNvSpPr>
      </xdr:nvSpPr>
      <xdr:spPr bwMode="auto">
        <a:xfrm>
          <a:off x="2705100" y="546830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336</xdr:row>
      <xdr:rowOff>0</xdr:rowOff>
    </xdr:from>
    <xdr:to>
      <xdr:col>3</xdr:col>
      <xdr:colOff>0</xdr:colOff>
      <xdr:row>336</xdr:row>
      <xdr:rowOff>0</xdr:rowOff>
    </xdr:to>
    <xdr:sp macro="" textlink="">
      <xdr:nvSpPr>
        <xdr:cNvPr id="35" name="Oval 128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>
          <a:spLocks noChangeArrowheads="1"/>
        </xdr:cNvSpPr>
      </xdr:nvSpPr>
      <xdr:spPr bwMode="auto">
        <a:xfrm>
          <a:off x="2705100" y="546830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291</xdr:row>
      <xdr:rowOff>0</xdr:rowOff>
    </xdr:from>
    <xdr:to>
      <xdr:col>3</xdr:col>
      <xdr:colOff>0</xdr:colOff>
      <xdr:row>291</xdr:row>
      <xdr:rowOff>0</xdr:rowOff>
    </xdr:to>
    <xdr:sp macro="" textlink="">
      <xdr:nvSpPr>
        <xdr:cNvPr id="36" name="Oval 129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Arrowheads="1"/>
        </xdr:cNvSpPr>
      </xdr:nvSpPr>
      <xdr:spPr bwMode="auto">
        <a:xfrm>
          <a:off x="2705100" y="47396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291</xdr:row>
      <xdr:rowOff>0</xdr:rowOff>
    </xdr:from>
    <xdr:to>
      <xdr:col>3</xdr:col>
      <xdr:colOff>0</xdr:colOff>
      <xdr:row>291</xdr:row>
      <xdr:rowOff>0</xdr:rowOff>
    </xdr:to>
    <xdr:sp macro="" textlink="">
      <xdr:nvSpPr>
        <xdr:cNvPr id="37" name="Oval 130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>
          <a:spLocks noChangeArrowheads="1"/>
        </xdr:cNvSpPr>
      </xdr:nvSpPr>
      <xdr:spPr bwMode="auto">
        <a:xfrm>
          <a:off x="2705100" y="473964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277</xdr:row>
      <xdr:rowOff>0</xdr:rowOff>
    </xdr:from>
    <xdr:to>
      <xdr:col>3</xdr:col>
      <xdr:colOff>0</xdr:colOff>
      <xdr:row>277</xdr:row>
      <xdr:rowOff>0</xdr:rowOff>
    </xdr:to>
    <xdr:sp macro="" textlink="">
      <xdr:nvSpPr>
        <xdr:cNvPr id="38" name="Oval 131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Arrowheads="1"/>
        </xdr:cNvSpPr>
      </xdr:nvSpPr>
      <xdr:spPr bwMode="auto">
        <a:xfrm>
          <a:off x="2705100" y="451294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277</xdr:row>
      <xdr:rowOff>0</xdr:rowOff>
    </xdr:from>
    <xdr:to>
      <xdr:col>3</xdr:col>
      <xdr:colOff>0</xdr:colOff>
      <xdr:row>277</xdr:row>
      <xdr:rowOff>0</xdr:rowOff>
    </xdr:to>
    <xdr:sp macro="" textlink="">
      <xdr:nvSpPr>
        <xdr:cNvPr id="39" name="Oval 132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>
          <a:spLocks noChangeArrowheads="1"/>
        </xdr:cNvSpPr>
      </xdr:nvSpPr>
      <xdr:spPr bwMode="auto">
        <a:xfrm>
          <a:off x="2705100" y="451294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40" name="Oval 123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>
          <a:spLocks noChangeArrowheads="1"/>
        </xdr:cNvSpPr>
      </xdr:nvSpPr>
      <xdr:spPr bwMode="auto">
        <a:xfrm>
          <a:off x="2705100" y="345281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212</xdr:row>
      <xdr:rowOff>0</xdr:rowOff>
    </xdr:from>
    <xdr:to>
      <xdr:col>3</xdr:col>
      <xdr:colOff>0</xdr:colOff>
      <xdr:row>212</xdr:row>
      <xdr:rowOff>0</xdr:rowOff>
    </xdr:to>
    <xdr:sp macro="" textlink="">
      <xdr:nvSpPr>
        <xdr:cNvPr id="41" name="Oval 124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>
          <a:spLocks noChangeArrowheads="1"/>
        </xdr:cNvSpPr>
      </xdr:nvSpPr>
      <xdr:spPr bwMode="auto">
        <a:xfrm>
          <a:off x="2705100" y="345281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542925</xdr:colOff>
          <xdr:row>0</xdr:row>
          <xdr:rowOff>76200</xdr:rowOff>
        </xdr:from>
        <xdr:to>
          <xdr:col>11</xdr:col>
          <xdr:colOff>428625</xdr:colOff>
          <xdr:row>1</xdr:row>
          <xdr:rowOff>38100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E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0000FF"/>
                  </a:solidFill>
                  <a:cs typeface="CordiaUPC"/>
                </a:rPr>
                <a:t>เมนูหลัก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428625</xdr:colOff>
          <xdr:row>467</xdr:row>
          <xdr:rowOff>66675</xdr:rowOff>
        </xdr:from>
        <xdr:to>
          <xdr:col>11</xdr:col>
          <xdr:colOff>371475</xdr:colOff>
          <xdr:row>469</xdr:row>
          <xdr:rowOff>66675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E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0000FF"/>
                  </a:solidFill>
                  <a:cs typeface="CordiaUPC"/>
                </a:rPr>
                <a:t>เมนูหลัก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15</xdr:row>
      <xdr:rowOff>122464</xdr:rowOff>
    </xdr:from>
    <xdr:to>
      <xdr:col>5</xdr:col>
      <xdr:colOff>585107</xdr:colOff>
      <xdr:row>18</xdr:row>
      <xdr:rowOff>299357</xdr:rowOff>
    </xdr:to>
    <xdr:sp macro="" textlink="">
      <xdr:nvSpPr>
        <xdr:cNvPr id="234" name="สี่เหลี่ยมผืนผ้า 233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SpPr/>
      </xdr:nvSpPr>
      <xdr:spPr bwMode="auto">
        <a:xfrm>
          <a:off x="612321" y="4816928"/>
          <a:ext cx="3755572" cy="1115786"/>
        </a:xfrm>
        <a:prstGeom prst="rect">
          <a:avLst/>
        </a:prstGeom>
        <a:solidFill>
          <a:sysClr val="window" lastClr="FFFFFF"/>
        </a:solidFill>
        <a:ln w="12700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5</xdr:col>
      <xdr:colOff>605118</xdr:colOff>
      <xdr:row>12</xdr:row>
      <xdr:rowOff>224118</xdr:rowOff>
    </xdr:from>
    <xdr:to>
      <xdr:col>17</xdr:col>
      <xdr:colOff>78442</xdr:colOff>
      <xdr:row>13</xdr:row>
      <xdr:rowOff>201706</xdr:rowOff>
    </xdr:to>
    <xdr:sp macro="" textlink="">
      <xdr:nvSpPr>
        <xdr:cNvPr id="2" name="Freeform 45575" descr="ลายเส้นบางทแยงมุมขึ้น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4392706" y="3989294"/>
          <a:ext cx="9267265" cy="291353"/>
        </a:xfrm>
        <a:custGeom>
          <a:avLst/>
          <a:gdLst>
            <a:gd name="T0" fmla="*/ 2147483647 w 815"/>
            <a:gd name="T1" fmla="*/ 2147483647 h 21"/>
            <a:gd name="T2" fmla="*/ 2147483647 w 815"/>
            <a:gd name="T3" fmla="*/ 0 h 21"/>
            <a:gd name="T4" fmla="*/ 2147483647 w 815"/>
            <a:gd name="T5" fmla="*/ 2147483647 h 21"/>
            <a:gd name="T6" fmla="*/ 2147483647 w 815"/>
            <a:gd name="T7" fmla="*/ 2147483647 h 21"/>
            <a:gd name="T8" fmla="*/ 2147483647 w 815"/>
            <a:gd name="T9" fmla="*/ 2147483647 h 21"/>
            <a:gd name="T10" fmla="*/ 0 w 815"/>
            <a:gd name="T11" fmla="*/ 2147483647 h 21"/>
            <a:gd name="T12" fmla="*/ 2147483647 w 815"/>
            <a:gd name="T13" fmla="*/ 2147483647 h 2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815"/>
            <a:gd name="T22" fmla="*/ 0 h 21"/>
            <a:gd name="T23" fmla="*/ 815 w 815"/>
            <a:gd name="T24" fmla="*/ 21 h 2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815" h="21">
              <a:moveTo>
                <a:pt x="30" y="8"/>
              </a:moveTo>
              <a:lnTo>
                <a:pt x="406" y="0"/>
              </a:lnTo>
              <a:lnTo>
                <a:pt x="786" y="8"/>
              </a:lnTo>
              <a:lnTo>
                <a:pt x="815" y="21"/>
              </a:lnTo>
              <a:lnTo>
                <a:pt x="406" y="13"/>
              </a:lnTo>
              <a:lnTo>
                <a:pt x="0" y="21"/>
              </a:lnTo>
              <a:lnTo>
                <a:pt x="30" y="8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1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536462</xdr:colOff>
      <xdr:row>7</xdr:row>
      <xdr:rowOff>10</xdr:rowOff>
    </xdr:from>
    <xdr:to>
      <xdr:col>20</xdr:col>
      <xdr:colOff>421247</xdr:colOff>
      <xdr:row>17</xdr:row>
      <xdr:rowOff>267204</xdr:rowOff>
    </xdr:to>
    <xdr:grpSp>
      <xdr:nvGrpSpPr>
        <xdr:cNvPr id="3" name="กลุ่ม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693069" y="2190760"/>
          <a:ext cx="15165607" cy="3396837"/>
          <a:chOff x="1446890" y="28371271"/>
          <a:chExt cx="14437548" cy="2974720"/>
        </a:xfrm>
      </xdr:grpSpPr>
      <xdr:grpSp>
        <xdr:nvGrpSpPr>
          <xdr:cNvPr id="4" name="กลุ่ม 174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pSpPr/>
        </xdr:nvGrpSpPr>
        <xdr:grpSpPr>
          <a:xfrm>
            <a:off x="1446890" y="28371271"/>
            <a:ext cx="14437548" cy="2974720"/>
            <a:chOff x="1446085" y="28342537"/>
            <a:chExt cx="14423644" cy="2970965"/>
          </a:xfrm>
        </xdr:grpSpPr>
        <xdr:grpSp>
          <xdr:nvGrpSpPr>
            <xdr:cNvPr id="7" name="กลุ่ม 233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1446085" y="28342537"/>
              <a:ext cx="14423644" cy="2970965"/>
              <a:chOff x="-1162093" y="1785926"/>
              <a:chExt cx="12973050" cy="2647950"/>
            </a:xfrm>
          </xdr:grpSpPr>
          <xdr:grpSp>
            <xdr:nvGrpSpPr>
              <xdr:cNvPr id="10" name="Group 101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-1162093" y="2914646"/>
                <a:ext cx="12973050" cy="1381125"/>
                <a:chOff x="61" y="2484"/>
                <a:chExt cx="1362" cy="145"/>
              </a:xfrm>
            </xdr:grpSpPr>
            <xdr:sp macro="" textlink="">
              <xdr:nvSpPr>
                <xdr:cNvPr id="14" name="Text Box 102">
                  <a:extLst>
                    <a:ext uri="{FF2B5EF4-FFF2-40B4-BE49-F238E27FC236}">
                      <a16:creationId xmlns:a16="http://schemas.microsoft.com/office/drawing/2014/main" id="{00000000-0008-0000-0F00-00000E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389" y="2493"/>
                  <a:ext cx="69" cy="23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</a:t>
                  </a:r>
                </a:p>
              </xdr:txBody>
            </xdr:sp>
            <xdr:sp macro="" textlink="">
              <xdr:nvSpPr>
                <xdr:cNvPr id="15" name="Line 128">
                  <a:extLst>
                    <a:ext uri="{FF2B5EF4-FFF2-40B4-BE49-F238E27FC236}">
                      <a16:creationId xmlns:a16="http://schemas.microsoft.com/office/drawing/2014/main" id="{00000000-0008-0000-0F00-00000F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579" y="2507"/>
                  <a:ext cx="37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 type="stealth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" name="Line 209">
                  <a:extLst>
                    <a:ext uri="{FF2B5EF4-FFF2-40B4-BE49-F238E27FC236}">
                      <a16:creationId xmlns:a16="http://schemas.microsoft.com/office/drawing/2014/main" id="{00000000-0008-0000-0F00-000010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819" y="2507"/>
                  <a:ext cx="54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 type="stealth" w="sm" len="sm"/>
                  <a:tailEnd type="none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7" name="Line 315">
                  <a:extLst>
                    <a:ext uri="{FF2B5EF4-FFF2-40B4-BE49-F238E27FC236}">
                      <a16:creationId xmlns:a16="http://schemas.microsoft.com/office/drawing/2014/main" id="{00000000-0008-0000-0F00-000011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362" y="2514"/>
                  <a:ext cx="37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 type="stealth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8" name="Line 316">
                  <a:extLst>
                    <a:ext uri="{FF2B5EF4-FFF2-40B4-BE49-F238E27FC236}">
                      <a16:creationId xmlns:a16="http://schemas.microsoft.com/office/drawing/2014/main" id="{00000000-0008-0000-0F00-000012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1037" y="2514"/>
                  <a:ext cx="37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 type="stealth" w="sm" len="sm"/>
                  <a:tailEnd type="none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grpSp>
              <xdr:nvGrpSpPr>
                <xdr:cNvPr id="26" name="Group 110">
                  <a:extLst>
                    <a:ext uri="{FF2B5EF4-FFF2-40B4-BE49-F238E27FC236}">
                      <a16:creationId xmlns:a16="http://schemas.microsoft.com/office/drawing/2014/main" id="{00000000-0008-0000-0F00-00001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5" y="2508"/>
                  <a:ext cx="1298" cy="121"/>
                  <a:chOff x="109" y="2430"/>
                  <a:chExt cx="1278" cy="121"/>
                </a:xfrm>
              </xdr:grpSpPr>
              <xdr:grpSp>
                <xdr:nvGrpSpPr>
                  <xdr:cNvPr id="33" name="Group 111">
                    <a:extLst>
                      <a:ext uri="{FF2B5EF4-FFF2-40B4-BE49-F238E27FC236}">
                        <a16:creationId xmlns:a16="http://schemas.microsoft.com/office/drawing/2014/main" id="{00000000-0008-0000-0F00-000021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20" y="2521"/>
                    <a:ext cx="159" cy="30"/>
                    <a:chOff x="120" y="2521"/>
                    <a:chExt cx="159" cy="30"/>
                  </a:xfrm>
                </xdr:grpSpPr>
                <xdr:sp macro="" textlink="">
                  <xdr:nvSpPr>
                    <xdr:cNvPr id="87" name="Line 129">
                      <a:extLst>
                        <a:ext uri="{FF2B5EF4-FFF2-40B4-BE49-F238E27FC236}">
                          <a16:creationId xmlns:a16="http://schemas.microsoft.com/office/drawing/2014/main" id="{00000000-0008-0000-0F00-000057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0" y="2521"/>
                      <a:ext cx="27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8" name="Line 130">
                      <a:extLst>
                        <a:ext uri="{FF2B5EF4-FFF2-40B4-BE49-F238E27FC236}">
                          <a16:creationId xmlns:a16="http://schemas.microsoft.com/office/drawing/2014/main" id="{00000000-0008-0000-0F00-000058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34" y="2521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9" name="Line 131">
                      <a:extLst>
                        <a:ext uri="{FF2B5EF4-FFF2-40B4-BE49-F238E27FC236}">
                          <a16:creationId xmlns:a16="http://schemas.microsoft.com/office/drawing/2014/main" id="{00000000-0008-0000-0F00-000059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42" y="2521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0" name="Line 132">
                      <a:extLst>
                        <a:ext uri="{FF2B5EF4-FFF2-40B4-BE49-F238E27FC236}">
                          <a16:creationId xmlns:a16="http://schemas.microsoft.com/office/drawing/2014/main" id="{00000000-0008-0000-0F00-00005A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50" y="2522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1" name="Line 133">
                      <a:extLst>
                        <a:ext uri="{FF2B5EF4-FFF2-40B4-BE49-F238E27FC236}">
                          <a16:creationId xmlns:a16="http://schemas.microsoft.com/office/drawing/2014/main" id="{00000000-0008-0000-0F00-00005B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171" y="2523"/>
                      <a:ext cx="19" cy="2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2" name="Line 134">
                      <a:extLst>
                        <a:ext uri="{FF2B5EF4-FFF2-40B4-BE49-F238E27FC236}">
                          <a16:creationId xmlns:a16="http://schemas.microsoft.com/office/drawing/2014/main" id="{00000000-0008-0000-0F00-00005C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166" y="2526"/>
                      <a:ext cx="17" cy="2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3" name="Line 135">
                      <a:extLst>
                        <a:ext uri="{FF2B5EF4-FFF2-40B4-BE49-F238E27FC236}">
                          <a16:creationId xmlns:a16="http://schemas.microsoft.com/office/drawing/2014/main" id="{00000000-0008-0000-0F00-00005D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62" y="2533"/>
                      <a:ext cx="11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4" name="Line 136">
                      <a:extLst>
                        <a:ext uri="{FF2B5EF4-FFF2-40B4-BE49-F238E27FC236}">
                          <a16:creationId xmlns:a16="http://schemas.microsoft.com/office/drawing/2014/main" id="{00000000-0008-0000-0F00-00005E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57" y="2540"/>
                      <a:ext cx="7" cy="1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5" name="Line 137">
                      <a:extLst>
                        <a:ext uri="{FF2B5EF4-FFF2-40B4-BE49-F238E27FC236}">
                          <a16:creationId xmlns:a16="http://schemas.microsoft.com/office/drawing/2014/main" id="{00000000-0008-0000-0F00-00005F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91" y="2521"/>
                      <a:ext cx="27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6" name="Line 138">
                      <a:extLst>
                        <a:ext uri="{FF2B5EF4-FFF2-40B4-BE49-F238E27FC236}">
                          <a16:creationId xmlns:a16="http://schemas.microsoft.com/office/drawing/2014/main" id="{00000000-0008-0000-0F00-000060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85" y="2521"/>
                      <a:ext cx="23" cy="22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7" name="Line 139">
                      <a:extLst>
                        <a:ext uri="{FF2B5EF4-FFF2-40B4-BE49-F238E27FC236}">
                          <a16:creationId xmlns:a16="http://schemas.microsoft.com/office/drawing/2014/main" id="{00000000-0008-0000-0F00-000061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80" y="2521"/>
                      <a:ext cx="12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8" name="Line 140">
                      <a:extLst>
                        <a:ext uri="{FF2B5EF4-FFF2-40B4-BE49-F238E27FC236}">
                          <a16:creationId xmlns:a16="http://schemas.microsoft.com/office/drawing/2014/main" id="{00000000-0008-0000-0F00-000062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77" y="2522"/>
                      <a:ext cx="8" cy="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99" name="Line 141">
                      <a:extLst>
                        <a:ext uri="{FF2B5EF4-FFF2-40B4-BE49-F238E27FC236}">
                          <a16:creationId xmlns:a16="http://schemas.microsoft.com/office/drawing/2014/main" id="{00000000-0008-0000-0F00-000063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216" y="2521"/>
                      <a:ext cx="21" cy="2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0" name="Line 142">
                      <a:extLst>
                        <a:ext uri="{FF2B5EF4-FFF2-40B4-BE49-F238E27FC236}">
                          <a16:creationId xmlns:a16="http://schemas.microsoft.com/office/drawing/2014/main" id="{00000000-0008-0000-0F00-000064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13" y="2529"/>
                      <a:ext cx="15" cy="2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1" name="Line 143">
                      <a:extLst>
                        <a:ext uri="{FF2B5EF4-FFF2-40B4-BE49-F238E27FC236}">
                          <a16:creationId xmlns:a16="http://schemas.microsoft.com/office/drawing/2014/main" id="{00000000-0008-0000-0F00-000065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08" y="2533"/>
                      <a:ext cx="12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2" name="Line 144">
                      <a:extLst>
                        <a:ext uri="{FF2B5EF4-FFF2-40B4-BE49-F238E27FC236}">
                          <a16:creationId xmlns:a16="http://schemas.microsoft.com/office/drawing/2014/main" id="{00000000-0008-0000-0F00-000066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05" y="2539"/>
                      <a:ext cx="8" cy="12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3" name="Line 145">
                      <a:extLst>
                        <a:ext uri="{FF2B5EF4-FFF2-40B4-BE49-F238E27FC236}">
                          <a16:creationId xmlns:a16="http://schemas.microsoft.com/office/drawing/2014/main" id="{00000000-0008-0000-0F00-000067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234" y="2521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4" name="Line 146">
                      <a:extLst>
                        <a:ext uri="{FF2B5EF4-FFF2-40B4-BE49-F238E27FC236}">
                          <a16:creationId xmlns:a16="http://schemas.microsoft.com/office/drawing/2014/main" id="{00000000-0008-0000-0F00-000068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231" y="2522"/>
                      <a:ext cx="15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5" name="Line 147">
                      <a:extLst>
                        <a:ext uri="{FF2B5EF4-FFF2-40B4-BE49-F238E27FC236}">
                          <a16:creationId xmlns:a16="http://schemas.microsoft.com/office/drawing/2014/main" id="{00000000-0008-0000-0F00-000069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226" y="2521"/>
                      <a:ext cx="13" cy="1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6" name="Line 148">
                      <a:extLst>
                        <a:ext uri="{FF2B5EF4-FFF2-40B4-BE49-F238E27FC236}">
                          <a16:creationId xmlns:a16="http://schemas.microsoft.com/office/drawing/2014/main" id="{00000000-0008-0000-0F00-00006A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224" y="2521"/>
                      <a:ext cx="8" cy="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7" name="Line 149">
                      <a:extLst>
                        <a:ext uri="{FF2B5EF4-FFF2-40B4-BE49-F238E27FC236}">
                          <a16:creationId xmlns:a16="http://schemas.microsoft.com/office/drawing/2014/main" id="{00000000-0008-0000-0F00-00006B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254" y="2521"/>
                      <a:ext cx="25" cy="2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8" name="Line 150">
                      <a:extLst>
                        <a:ext uri="{FF2B5EF4-FFF2-40B4-BE49-F238E27FC236}">
                          <a16:creationId xmlns:a16="http://schemas.microsoft.com/office/drawing/2014/main" id="{00000000-0008-0000-0F00-00006C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50" y="2529"/>
                      <a:ext cx="20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09" name="Line 151">
                      <a:extLst>
                        <a:ext uri="{FF2B5EF4-FFF2-40B4-BE49-F238E27FC236}">
                          <a16:creationId xmlns:a16="http://schemas.microsoft.com/office/drawing/2014/main" id="{00000000-0008-0000-0F00-00006D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45" y="2534"/>
                      <a:ext cx="10" cy="1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10" name="Line 152">
                      <a:extLst>
                        <a:ext uri="{FF2B5EF4-FFF2-40B4-BE49-F238E27FC236}">
                          <a16:creationId xmlns:a16="http://schemas.microsoft.com/office/drawing/2014/main" id="{00000000-0008-0000-0F00-00006E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241" y="2540"/>
                      <a:ext cx="5" cy="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</xdr:grpSp>
              <xdr:grpSp>
                <xdr:nvGrpSpPr>
                  <xdr:cNvPr id="34" name="Group 136">
                    <a:extLst>
                      <a:ext uri="{FF2B5EF4-FFF2-40B4-BE49-F238E27FC236}">
                        <a16:creationId xmlns:a16="http://schemas.microsoft.com/office/drawing/2014/main" id="{00000000-0008-0000-0F00-000022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610" y="2521"/>
                    <a:ext cx="156" cy="30"/>
                    <a:chOff x="610" y="2521"/>
                    <a:chExt cx="156" cy="30"/>
                  </a:xfrm>
                </xdr:grpSpPr>
                <xdr:sp macro="" textlink="">
                  <xdr:nvSpPr>
                    <xdr:cNvPr id="64" name="Line 153">
                      <a:extLst>
                        <a:ext uri="{FF2B5EF4-FFF2-40B4-BE49-F238E27FC236}">
                          <a16:creationId xmlns:a16="http://schemas.microsoft.com/office/drawing/2014/main" id="{00000000-0008-0000-0F00-000040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10" y="2521"/>
                      <a:ext cx="27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65" name="Line 154">
                      <a:extLst>
                        <a:ext uri="{FF2B5EF4-FFF2-40B4-BE49-F238E27FC236}">
                          <a16:creationId xmlns:a16="http://schemas.microsoft.com/office/drawing/2014/main" id="{00000000-0008-0000-0F00-000041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24" y="2521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66" name="Line 155">
                      <a:extLst>
                        <a:ext uri="{FF2B5EF4-FFF2-40B4-BE49-F238E27FC236}">
                          <a16:creationId xmlns:a16="http://schemas.microsoft.com/office/drawing/2014/main" id="{00000000-0008-0000-0F00-000042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32" y="2521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67" name="Line 156">
                      <a:extLst>
                        <a:ext uri="{FF2B5EF4-FFF2-40B4-BE49-F238E27FC236}">
                          <a16:creationId xmlns:a16="http://schemas.microsoft.com/office/drawing/2014/main" id="{00000000-0008-0000-0F00-000043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40" y="2522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68" name="Line 157">
                      <a:extLst>
                        <a:ext uri="{FF2B5EF4-FFF2-40B4-BE49-F238E27FC236}">
                          <a16:creationId xmlns:a16="http://schemas.microsoft.com/office/drawing/2014/main" id="{00000000-0008-0000-0F00-000044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661" y="2523"/>
                      <a:ext cx="19" cy="2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69" name="Line 158">
                      <a:extLst>
                        <a:ext uri="{FF2B5EF4-FFF2-40B4-BE49-F238E27FC236}">
                          <a16:creationId xmlns:a16="http://schemas.microsoft.com/office/drawing/2014/main" id="{00000000-0008-0000-0F00-000045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656" y="2526"/>
                      <a:ext cx="17" cy="2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0" name="Line 159">
                      <a:extLst>
                        <a:ext uri="{FF2B5EF4-FFF2-40B4-BE49-F238E27FC236}">
                          <a16:creationId xmlns:a16="http://schemas.microsoft.com/office/drawing/2014/main" id="{00000000-0008-0000-0F00-000046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652" y="2533"/>
                      <a:ext cx="11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1" name="Line 160">
                      <a:extLst>
                        <a:ext uri="{FF2B5EF4-FFF2-40B4-BE49-F238E27FC236}">
                          <a16:creationId xmlns:a16="http://schemas.microsoft.com/office/drawing/2014/main" id="{00000000-0008-0000-0F00-000047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647" y="2540"/>
                      <a:ext cx="7" cy="1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2" name="Line 161">
                      <a:extLst>
                        <a:ext uri="{FF2B5EF4-FFF2-40B4-BE49-F238E27FC236}">
                          <a16:creationId xmlns:a16="http://schemas.microsoft.com/office/drawing/2014/main" id="{00000000-0008-0000-0F00-000048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81" y="2521"/>
                      <a:ext cx="27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3" name="Line 162">
                      <a:extLst>
                        <a:ext uri="{FF2B5EF4-FFF2-40B4-BE49-F238E27FC236}">
                          <a16:creationId xmlns:a16="http://schemas.microsoft.com/office/drawing/2014/main" id="{00000000-0008-0000-0F00-000049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75" y="2521"/>
                      <a:ext cx="23" cy="22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4" name="Line 163">
                      <a:extLst>
                        <a:ext uri="{FF2B5EF4-FFF2-40B4-BE49-F238E27FC236}">
                          <a16:creationId xmlns:a16="http://schemas.microsoft.com/office/drawing/2014/main" id="{00000000-0008-0000-0F00-00004A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70" y="2521"/>
                      <a:ext cx="12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5" name="Line 165">
                      <a:extLst>
                        <a:ext uri="{FF2B5EF4-FFF2-40B4-BE49-F238E27FC236}">
                          <a16:creationId xmlns:a16="http://schemas.microsoft.com/office/drawing/2014/main" id="{00000000-0008-0000-0F00-00004B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706" y="2521"/>
                      <a:ext cx="21" cy="2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6" name="Line 166">
                      <a:extLst>
                        <a:ext uri="{FF2B5EF4-FFF2-40B4-BE49-F238E27FC236}">
                          <a16:creationId xmlns:a16="http://schemas.microsoft.com/office/drawing/2014/main" id="{00000000-0008-0000-0F00-00004C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703" y="2529"/>
                      <a:ext cx="15" cy="2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7" name="Line 167">
                      <a:extLst>
                        <a:ext uri="{FF2B5EF4-FFF2-40B4-BE49-F238E27FC236}">
                          <a16:creationId xmlns:a16="http://schemas.microsoft.com/office/drawing/2014/main" id="{00000000-0008-0000-0F00-00004D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628" y="2533"/>
                      <a:ext cx="12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8" name="Line 168">
                      <a:extLst>
                        <a:ext uri="{FF2B5EF4-FFF2-40B4-BE49-F238E27FC236}">
                          <a16:creationId xmlns:a16="http://schemas.microsoft.com/office/drawing/2014/main" id="{00000000-0008-0000-0F00-00004E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625" y="2539"/>
                      <a:ext cx="8" cy="12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79" name="Line 169">
                      <a:extLst>
                        <a:ext uri="{FF2B5EF4-FFF2-40B4-BE49-F238E27FC236}">
                          <a16:creationId xmlns:a16="http://schemas.microsoft.com/office/drawing/2014/main" id="{00000000-0008-0000-0F00-00004F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654" y="2522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0" name="Line 170">
                      <a:extLst>
                        <a:ext uri="{FF2B5EF4-FFF2-40B4-BE49-F238E27FC236}">
                          <a16:creationId xmlns:a16="http://schemas.microsoft.com/office/drawing/2014/main" id="{00000000-0008-0000-0F00-000050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721" y="2522"/>
                      <a:ext cx="15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1" name="Line 171">
                      <a:extLst>
                        <a:ext uri="{FF2B5EF4-FFF2-40B4-BE49-F238E27FC236}">
                          <a16:creationId xmlns:a16="http://schemas.microsoft.com/office/drawing/2014/main" id="{00000000-0008-0000-0F00-000051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716" y="2521"/>
                      <a:ext cx="13" cy="1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2" name="Line 172">
                      <a:extLst>
                        <a:ext uri="{FF2B5EF4-FFF2-40B4-BE49-F238E27FC236}">
                          <a16:creationId xmlns:a16="http://schemas.microsoft.com/office/drawing/2014/main" id="{00000000-0008-0000-0F00-000052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714" y="2521"/>
                      <a:ext cx="8" cy="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3" name="Line 173">
                      <a:extLst>
                        <a:ext uri="{FF2B5EF4-FFF2-40B4-BE49-F238E27FC236}">
                          <a16:creationId xmlns:a16="http://schemas.microsoft.com/office/drawing/2014/main" id="{00000000-0008-0000-0F00-000053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741" y="2522"/>
                      <a:ext cx="25" cy="2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4" name="Line 174">
                      <a:extLst>
                        <a:ext uri="{FF2B5EF4-FFF2-40B4-BE49-F238E27FC236}">
                          <a16:creationId xmlns:a16="http://schemas.microsoft.com/office/drawing/2014/main" id="{00000000-0008-0000-0F00-000054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736" y="2526"/>
                      <a:ext cx="20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5" name="Line 175">
                      <a:extLst>
                        <a:ext uri="{FF2B5EF4-FFF2-40B4-BE49-F238E27FC236}">
                          <a16:creationId xmlns:a16="http://schemas.microsoft.com/office/drawing/2014/main" id="{00000000-0008-0000-0F00-000055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729" y="2531"/>
                      <a:ext cx="10" cy="1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86" name="Line 176">
                      <a:extLst>
                        <a:ext uri="{FF2B5EF4-FFF2-40B4-BE49-F238E27FC236}">
                          <a16:creationId xmlns:a16="http://schemas.microsoft.com/office/drawing/2014/main" id="{00000000-0008-0000-0F00-000056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727" y="2537"/>
                      <a:ext cx="5" cy="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</xdr:grpSp>
              <xdr:grpSp>
                <xdr:nvGrpSpPr>
                  <xdr:cNvPr id="35" name="Group 160">
                    <a:extLst>
                      <a:ext uri="{FF2B5EF4-FFF2-40B4-BE49-F238E27FC236}">
                        <a16:creationId xmlns:a16="http://schemas.microsoft.com/office/drawing/2014/main" id="{00000000-0008-0000-0F00-000023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222" y="2444"/>
                    <a:ext cx="114" cy="30"/>
                    <a:chOff x="1222" y="2444"/>
                    <a:chExt cx="114" cy="30"/>
                  </a:xfrm>
                </xdr:grpSpPr>
                <xdr:sp macro="" textlink="">
                  <xdr:nvSpPr>
                    <xdr:cNvPr id="44" name="Line 177">
                      <a:extLst>
                        <a:ext uri="{FF2B5EF4-FFF2-40B4-BE49-F238E27FC236}">
                          <a16:creationId xmlns:a16="http://schemas.microsoft.com/office/drawing/2014/main" id="{00000000-0008-0000-0F00-00002C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22" y="2444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45" name="Line 178">
                      <a:extLst>
                        <a:ext uri="{FF2B5EF4-FFF2-40B4-BE49-F238E27FC236}">
                          <a16:creationId xmlns:a16="http://schemas.microsoft.com/office/drawing/2014/main" id="{00000000-0008-0000-0F00-00002D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30" y="2444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46" name="Line 179">
                      <a:extLst>
                        <a:ext uri="{FF2B5EF4-FFF2-40B4-BE49-F238E27FC236}">
                          <a16:creationId xmlns:a16="http://schemas.microsoft.com/office/drawing/2014/main" id="{00000000-0008-0000-0F00-00002E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38" y="2445"/>
                      <a:ext cx="18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47" name="Line 182">
                      <a:extLst>
                        <a:ext uri="{FF2B5EF4-FFF2-40B4-BE49-F238E27FC236}">
                          <a16:creationId xmlns:a16="http://schemas.microsoft.com/office/drawing/2014/main" id="{00000000-0008-0000-0F00-00002F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50" y="2456"/>
                      <a:ext cx="6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48" name="Line 183">
                      <a:extLst>
                        <a:ext uri="{FF2B5EF4-FFF2-40B4-BE49-F238E27FC236}">
                          <a16:creationId xmlns:a16="http://schemas.microsoft.com/office/drawing/2014/main" id="{00000000-0008-0000-0F00-000030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45" y="2463"/>
                      <a:ext cx="7" cy="1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49" name="Line 184">
                      <a:extLst>
                        <a:ext uri="{FF2B5EF4-FFF2-40B4-BE49-F238E27FC236}">
                          <a16:creationId xmlns:a16="http://schemas.microsoft.com/office/drawing/2014/main" id="{00000000-0008-0000-0F00-000031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56" y="2444"/>
                      <a:ext cx="18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50" name="Line 186">
                      <a:extLst>
                        <a:ext uri="{FF2B5EF4-FFF2-40B4-BE49-F238E27FC236}">
                          <a16:creationId xmlns:a16="http://schemas.microsoft.com/office/drawing/2014/main" id="{00000000-0008-0000-0F00-000032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56" y="2444"/>
                      <a:ext cx="9" cy="1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51" name="Line 187">
                      <a:extLst>
                        <a:ext uri="{FF2B5EF4-FFF2-40B4-BE49-F238E27FC236}">
                          <a16:creationId xmlns:a16="http://schemas.microsoft.com/office/drawing/2014/main" id="{00000000-0008-0000-0F00-000033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54" y="2449"/>
                      <a:ext cx="8" cy="1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54" name="Line 190">
                      <a:extLst>
                        <a:ext uri="{FF2B5EF4-FFF2-40B4-BE49-F238E27FC236}">
                          <a16:creationId xmlns:a16="http://schemas.microsoft.com/office/drawing/2014/main" id="{00000000-0008-0000-0F00-000036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64" y="2456"/>
                      <a:ext cx="12" cy="17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55" name="Line 191">
                      <a:extLst>
                        <a:ext uri="{FF2B5EF4-FFF2-40B4-BE49-F238E27FC236}">
                          <a16:creationId xmlns:a16="http://schemas.microsoft.com/office/drawing/2014/main" id="{00000000-0008-0000-0F00-000037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61" y="2462"/>
                      <a:ext cx="8" cy="12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3" name="Line 188">
                      <a:extLst>
                        <a:ext uri="{FF2B5EF4-FFF2-40B4-BE49-F238E27FC236}">
                          <a16:creationId xmlns:a16="http://schemas.microsoft.com/office/drawing/2014/main" id="{00000000-0008-0000-0F00-0000B7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1273" y="2446"/>
                      <a:ext cx="21" cy="2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4" name="Line 189">
                      <a:extLst>
                        <a:ext uri="{FF2B5EF4-FFF2-40B4-BE49-F238E27FC236}">
                          <a16:creationId xmlns:a16="http://schemas.microsoft.com/office/drawing/2014/main" id="{00000000-0008-0000-0F00-0000B8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70" y="2454"/>
                      <a:ext cx="15" cy="20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5" name="Line 192">
                      <a:extLst>
                        <a:ext uri="{FF2B5EF4-FFF2-40B4-BE49-F238E27FC236}">
                          <a16:creationId xmlns:a16="http://schemas.microsoft.com/office/drawing/2014/main" id="{00000000-0008-0000-0F00-0000B9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91" y="2446"/>
                      <a:ext cx="21" cy="2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6" name="Line 193">
                      <a:extLst>
                        <a:ext uri="{FF2B5EF4-FFF2-40B4-BE49-F238E27FC236}">
                          <a16:creationId xmlns:a16="http://schemas.microsoft.com/office/drawing/2014/main" id="{00000000-0008-0000-0F00-0000BA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88" y="2447"/>
                      <a:ext cx="15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7" name="Line 194">
                      <a:extLst>
                        <a:ext uri="{FF2B5EF4-FFF2-40B4-BE49-F238E27FC236}">
                          <a16:creationId xmlns:a16="http://schemas.microsoft.com/office/drawing/2014/main" id="{00000000-0008-0000-0F00-0000BB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83" y="2446"/>
                      <a:ext cx="13" cy="14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8" name="Line 195">
                      <a:extLst>
                        <a:ext uri="{FF2B5EF4-FFF2-40B4-BE49-F238E27FC236}">
                          <a16:creationId xmlns:a16="http://schemas.microsoft.com/office/drawing/2014/main" id="{00000000-0008-0000-0F00-0000BC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V="1">
                      <a:off x="1281" y="2446"/>
                      <a:ext cx="8" cy="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89" name="Line 196">
                      <a:extLst>
                        <a:ext uri="{FF2B5EF4-FFF2-40B4-BE49-F238E27FC236}">
                          <a16:creationId xmlns:a16="http://schemas.microsoft.com/office/drawing/2014/main" id="{00000000-0008-0000-0F00-0000BD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>
                      <a:off x="1311" y="2446"/>
                      <a:ext cx="25" cy="2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90" name="Line 197">
                      <a:extLst>
                        <a:ext uri="{FF2B5EF4-FFF2-40B4-BE49-F238E27FC236}">
                          <a16:creationId xmlns:a16="http://schemas.microsoft.com/office/drawing/2014/main" id="{00000000-0008-0000-0F00-0000BE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307" y="2454"/>
                      <a:ext cx="20" cy="18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91" name="Line 198">
                      <a:extLst>
                        <a:ext uri="{FF2B5EF4-FFF2-40B4-BE49-F238E27FC236}">
                          <a16:creationId xmlns:a16="http://schemas.microsoft.com/office/drawing/2014/main" id="{00000000-0008-0000-0F00-0000BF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302" y="2459"/>
                      <a:ext cx="10" cy="15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  <xdr:sp macro="" textlink="">
                  <xdr:nvSpPr>
                    <xdr:cNvPr id="192" name="Line 199">
                      <a:extLst>
                        <a:ext uri="{FF2B5EF4-FFF2-40B4-BE49-F238E27FC236}">
                          <a16:creationId xmlns:a16="http://schemas.microsoft.com/office/drawing/2014/main" id="{00000000-0008-0000-0F00-0000C0000000}"/>
                        </a:ext>
                      </a:extLst>
                    </xdr:cNvPr>
                    <xdr:cNvSpPr>
                      <a:spLocks noChangeShapeType="1"/>
                    </xdr:cNvSpPr>
                  </xdr:nvSpPr>
                  <xdr:spPr bwMode="auto">
                    <a:xfrm flipH="1" flipV="1">
                      <a:off x="1298" y="2465"/>
                      <a:ext cx="5" cy="6"/>
                    </a:xfrm>
                    <a:prstGeom prst="line">
                      <a:avLst/>
                    </a:prstGeom>
                    <a:noFill/>
                    <a:ln w="635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en-US"/>
                    </a:p>
                  </xdr:txBody>
                </xdr:sp>
              </xdr:grpSp>
              <xdr:grpSp>
                <xdr:nvGrpSpPr>
                  <xdr:cNvPr id="36" name="Group 181">
                    <a:extLst>
                      <a:ext uri="{FF2B5EF4-FFF2-40B4-BE49-F238E27FC236}">
                        <a16:creationId xmlns:a16="http://schemas.microsoft.com/office/drawing/2014/main" id="{00000000-0008-0000-0F00-000024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109" y="2430"/>
                    <a:ext cx="1278" cy="96"/>
                    <a:chOff x="109" y="2430"/>
                    <a:chExt cx="1278" cy="96"/>
                  </a:xfrm>
                </xdr:grpSpPr>
                <xdr:sp macro="" textlink="">
                  <xdr:nvSpPr>
                    <xdr:cNvPr id="37" name="Freeform 218">
                      <a:extLst>
                        <a:ext uri="{FF2B5EF4-FFF2-40B4-BE49-F238E27FC236}">
                          <a16:creationId xmlns:a16="http://schemas.microsoft.com/office/drawing/2014/main" id="{00000000-0008-0000-0F00-000025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09" y="2430"/>
                      <a:ext cx="13" cy="10"/>
                    </a:xfrm>
                    <a:custGeom>
                      <a:avLst/>
                      <a:gdLst>
                        <a:gd name="T0" fmla="*/ 0 w 13"/>
                        <a:gd name="T1" fmla="*/ 0 h 10"/>
                        <a:gd name="T2" fmla="*/ 2147483647 w 13"/>
                        <a:gd name="T3" fmla="*/ 0 h 10"/>
                        <a:gd name="T4" fmla="*/ 2147483647 w 13"/>
                        <a:gd name="T5" fmla="*/ 2147483647 h 10"/>
                        <a:gd name="T6" fmla="*/ 0 w 13"/>
                        <a:gd name="T7" fmla="*/ 0 h 1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0 w 13"/>
                        <a:gd name="T13" fmla="*/ 0 h 10"/>
                        <a:gd name="T14" fmla="*/ 13 w 13"/>
                        <a:gd name="T15" fmla="*/ 10 h 1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13" h="10">
                          <a:moveTo>
                            <a:pt x="0" y="0"/>
                          </a:moveTo>
                          <a:lnTo>
                            <a:pt x="13" y="0"/>
                          </a:lnTo>
                          <a:lnTo>
                            <a:pt x="6" y="1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12700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  <xdr:txBody>
                    <a:bodyPr vert="horz" wrap="square" lIns="91440" tIns="45720" rIns="91440" bIns="4572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en-US"/>
                      </a:defPPr>
                      <a:lvl1pPr marL="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algn="l" defTabSz="914400" rtl="0" eaLnBrk="1" fontAlgn="base" latinLnBrk="0" hangingPunct="1">
                        <a:lnSpc>
                          <a:spcPct val="100000"/>
                        </a:lnSpc>
                        <a:spcBef>
                          <a:spcPct val="0"/>
                        </a:spcBef>
                        <a:spcAft>
                          <a:spcPct val="0"/>
                        </a:spcAft>
                        <a:buClrTx/>
                        <a:buSzTx/>
                        <a:buFontTx/>
                        <a:buNone/>
                        <a:tabLst/>
                      </a:pPr>
                      <a:endParaRPr kumimoji="0" lang="en-US" sz="18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Arial" pitchFamily="34" charset="0"/>
                        <a:cs typeface="Arial" pitchFamily="34" charset="0"/>
                      </a:endParaRPr>
                    </a:p>
                  </xdr:txBody>
                </xdr:sp>
                <xdr:grpSp>
                  <xdr:nvGrpSpPr>
                    <xdr:cNvPr id="38" name="Group 183">
                      <a:extLst>
                        <a:ext uri="{FF2B5EF4-FFF2-40B4-BE49-F238E27FC236}">
                          <a16:creationId xmlns:a16="http://schemas.microsoft.com/office/drawing/2014/main" id="{00000000-0008-0000-0F00-00002600000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503" y="2439"/>
                      <a:ext cx="884" cy="87"/>
                      <a:chOff x="503" y="2439"/>
                      <a:chExt cx="884" cy="87"/>
                    </a:xfrm>
                  </xdr:grpSpPr>
                  <xdr:sp macro="" textlink="">
                    <xdr:nvSpPr>
                      <xdr:cNvPr id="40" name="Freeform 117">
                        <a:extLst>
                          <a:ext uri="{FF2B5EF4-FFF2-40B4-BE49-F238E27FC236}">
                            <a16:creationId xmlns:a16="http://schemas.microsoft.com/office/drawing/2014/main" id="{00000000-0008-0000-0F00-000028000000}"/>
                          </a:ext>
                        </a:extLst>
                      </xdr:cNvPr>
                      <xdr:cNvSpPr>
                        <a:spLocks/>
                      </xdr:cNvSpPr>
                    </xdr:nvSpPr>
                    <xdr:spPr bwMode="auto">
                      <a:xfrm>
                        <a:off x="503" y="2518"/>
                        <a:ext cx="405" cy="8"/>
                      </a:xfrm>
                      <a:custGeom>
                        <a:avLst/>
                        <a:gdLst>
                          <a:gd name="T0" fmla="*/ 0 w 369"/>
                          <a:gd name="T1" fmla="*/ 2147483647 h 7"/>
                          <a:gd name="T2" fmla="*/ 2147483647 w 369"/>
                          <a:gd name="T3" fmla="*/ 2147483647 h 7"/>
                          <a:gd name="T4" fmla="*/ 2147483647 w 369"/>
                          <a:gd name="T5" fmla="*/ 2147483647 h 7"/>
                          <a:gd name="T6" fmla="*/ 2147483647 w 369"/>
                          <a:gd name="T7" fmla="*/ 2147483647 h 7"/>
                          <a:gd name="T8" fmla="*/ 2147483647 w 369"/>
                          <a:gd name="T9" fmla="*/ 0 h 7"/>
                          <a:gd name="T10" fmla="*/ 2147483647 w 369"/>
                          <a:gd name="T11" fmla="*/ 2147483647 h 7"/>
                          <a:gd name="T12" fmla="*/ 0 60000 65536"/>
                          <a:gd name="T13" fmla="*/ 0 60000 65536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w 369"/>
                          <a:gd name="T19" fmla="*/ 0 h 7"/>
                          <a:gd name="T20" fmla="*/ 369 w 369"/>
                          <a:gd name="T21" fmla="*/ 7 h 7"/>
                        </a:gdLst>
                        <a:ahLst/>
                        <a:cxnLst>
                          <a:cxn ang="T12">
                            <a:pos x="T0" y="T1"/>
                          </a:cxn>
                          <a:cxn ang="T13">
                            <a:pos x="T2" y="T3"/>
                          </a:cxn>
                          <a:cxn ang="T14">
                            <a:pos x="T4" y="T5"/>
                          </a:cxn>
                          <a:cxn ang="T15">
                            <a:pos x="T6" y="T7"/>
                          </a:cxn>
                          <a:cxn ang="T16">
                            <a:pos x="T8" y="T9"/>
                          </a:cxn>
                          <a:cxn ang="T17">
                            <a:pos x="T10" y="T11"/>
                          </a:cxn>
                        </a:cxnLst>
                        <a:rect l="T18" t="T19" r="T20" b="T21"/>
                        <a:pathLst>
                          <a:path w="369" h="7">
                            <a:moveTo>
                              <a:pt x="0" y="3"/>
                            </a:moveTo>
                            <a:cubicBezTo>
                              <a:pt x="10" y="5"/>
                              <a:pt x="17" y="6"/>
                              <a:pt x="28" y="7"/>
                            </a:cubicBezTo>
                            <a:cubicBezTo>
                              <a:pt x="63" y="5"/>
                              <a:pt x="92" y="4"/>
                              <a:pt x="129" y="3"/>
                            </a:cubicBezTo>
                            <a:cubicBezTo>
                              <a:pt x="160" y="0"/>
                              <a:pt x="191" y="3"/>
                              <a:pt x="222" y="4"/>
                            </a:cubicBezTo>
                            <a:cubicBezTo>
                              <a:pt x="249" y="7"/>
                              <a:pt x="277" y="2"/>
                              <a:pt x="304" y="0"/>
                            </a:cubicBezTo>
                            <a:cubicBezTo>
                              <a:pt x="326" y="1"/>
                              <a:pt x="347" y="4"/>
                              <a:pt x="369" y="4"/>
                            </a:cubicBezTo>
                          </a:path>
                        </a:pathLst>
                      </a:custGeom>
                      <a:noFill/>
                      <a:ln w="38100">
                        <a:solidFill>
                          <a:srgbClr val="000000"/>
                        </a:solidFill>
                        <a:round/>
                        <a:headEnd/>
                        <a:tailEnd/>
                      </a:ln>
                    </xdr:spPr>
                    <xdr:txBody>
                      <a:bodyPr vert="horz" wrap="square" lIns="91440" tIns="45720" rIns="91440" bIns="45720" numCol="1" anchor="t" anchorCtr="0" compatLnSpc="1">
                        <a:prstTxWarp prst="textNoShape">
                          <a:avLst/>
                        </a:prstTxWarp>
                      </a:bodyPr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pPr marL="0" marR="0" lvl="0" indent="0" algn="l" defTabSz="914400" rtl="0" eaLnBrk="1" fontAlgn="base" latinLnBrk="0" hangingPunct="1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endParaRPr kumimoji="0" lang="en-US" sz="1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Arial" pitchFamily="34" charset="0"/>
                          <a:cs typeface="Arial" pitchFamily="34" charset="0"/>
                        </a:endParaRPr>
                      </a:p>
                    </xdr:txBody>
                  </xdr:sp>
                  <xdr:sp macro="" textlink="">
                    <xdr:nvSpPr>
                      <xdr:cNvPr id="41" name="Freeform 118">
                        <a:extLst>
                          <a:ext uri="{FF2B5EF4-FFF2-40B4-BE49-F238E27FC236}">
                            <a16:creationId xmlns:a16="http://schemas.microsoft.com/office/drawing/2014/main" id="{00000000-0008-0000-0F00-000029000000}"/>
                          </a:ext>
                        </a:extLst>
                      </xdr:cNvPr>
                      <xdr:cNvSpPr>
                        <a:spLocks/>
                      </xdr:cNvSpPr>
                    </xdr:nvSpPr>
                    <xdr:spPr bwMode="auto">
                      <a:xfrm>
                        <a:off x="1150" y="2439"/>
                        <a:ext cx="237" cy="10"/>
                      </a:xfrm>
                      <a:custGeom>
                        <a:avLst/>
                        <a:gdLst>
                          <a:gd name="T0" fmla="*/ 0 w 376"/>
                          <a:gd name="T1" fmla="*/ 2147483647 h 17"/>
                          <a:gd name="T2" fmla="*/ 2147483647 w 376"/>
                          <a:gd name="T3" fmla="*/ 2147483647 h 17"/>
                          <a:gd name="T4" fmla="*/ 2147483647 w 376"/>
                          <a:gd name="T5" fmla="*/ 2147483647 h 17"/>
                          <a:gd name="T6" fmla="*/ 2147483647 w 376"/>
                          <a:gd name="T7" fmla="*/ 2147483647 h 17"/>
                          <a:gd name="T8" fmla="*/ 2147483647 w 376"/>
                          <a:gd name="T9" fmla="*/ 2147483647 h 17"/>
                          <a:gd name="T10" fmla="*/ 2147483647 w 376"/>
                          <a:gd name="T11" fmla="*/ 2147483647 h 17"/>
                          <a:gd name="T12" fmla="*/ 0 60000 65536"/>
                          <a:gd name="T13" fmla="*/ 0 60000 65536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w 376"/>
                          <a:gd name="T19" fmla="*/ 0 h 17"/>
                          <a:gd name="T20" fmla="*/ 376 w 376"/>
                          <a:gd name="T21" fmla="*/ 17 h 17"/>
                        </a:gdLst>
                        <a:ahLst/>
                        <a:cxnLst>
                          <a:cxn ang="T12">
                            <a:pos x="T0" y="T1"/>
                          </a:cxn>
                          <a:cxn ang="T13">
                            <a:pos x="T2" y="T3"/>
                          </a:cxn>
                          <a:cxn ang="T14">
                            <a:pos x="T4" y="T5"/>
                          </a:cxn>
                          <a:cxn ang="T15">
                            <a:pos x="T6" y="T7"/>
                          </a:cxn>
                          <a:cxn ang="T16">
                            <a:pos x="T8" y="T9"/>
                          </a:cxn>
                          <a:cxn ang="T17">
                            <a:pos x="T10" y="T11"/>
                          </a:cxn>
                        </a:cxnLst>
                        <a:rect l="T18" t="T19" r="T20" b="T21"/>
                        <a:pathLst>
                          <a:path w="376" h="17">
                            <a:moveTo>
                              <a:pt x="0" y="5"/>
                            </a:moveTo>
                            <a:cubicBezTo>
                              <a:pt x="23" y="4"/>
                              <a:pt x="36" y="3"/>
                              <a:pt x="59" y="4"/>
                            </a:cubicBezTo>
                            <a:cubicBezTo>
                              <a:pt x="79" y="17"/>
                              <a:pt x="111" y="6"/>
                              <a:pt x="136" y="4"/>
                            </a:cubicBezTo>
                            <a:cubicBezTo>
                              <a:pt x="184" y="7"/>
                              <a:pt x="165" y="6"/>
                              <a:pt x="195" y="8"/>
                            </a:cubicBezTo>
                            <a:cubicBezTo>
                              <a:pt x="225" y="5"/>
                              <a:pt x="256" y="4"/>
                              <a:pt x="286" y="3"/>
                            </a:cubicBezTo>
                            <a:cubicBezTo>
                              <a:pt x="316" y="0"/>
                              <a:pt x="346" y="6"/>
                              <a:pt x="376" y="6"/>
                            </a:cubicBezTo>
                          </a:path>
                        </a:pathLst>
                      </a:custGeom>
                      <a:noFill/>
                      <a:ln w="38100">
                        <a:solidFill>
                          <a:srgbClr val="000000"/>
                        </a:solidFill>
                        <a:round/>
                        <a:headEnd/>
                        <a:tailEnd/>
                      </a:ln>
                    </xdr:spPr>
                    <xdr:txBody>
                      <a:bodyPr vert="horz" wrap="square" lIns="91440" tIns="45720" rIns="91440" bIns="45720" numCol="1" anchor="t" anchorCtr="0" compatLnSpc="1">
                        <a:prstTxWarp prst="textNoShape">
                          <a:avLst/>
                        </a:prstTxWarp>
                      </a:bodyPr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pPr marL="0" marR="0" lvl="0" indent="0" algn="l" defTabSz="914400" rtl="0" eaLnBrk="1" fontAlgn="base" latinLnBrk="0" hangingPunct="1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endParaRPr kumimoji="0" lang="en-US" sz="1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Arial" pitchFamily="34" charset="0"/>
                          <a:cs typeface="Arial" pitchFamily="34" charset="0"/>
                        </a:endParaRPr>
                      </a:p>
                    </xdr:txBody>
                  </xdr:sp>
                </xdr:grpSp>
              </xdr:grpSp>
            </xdr:grpSp>
            <xdr:sp macro="" textlink="">
              <xdr:nvSpPr>
                <xdr:cNvPr id="20" name="Text Box 196">
                  <a:extLst>
                    <a:ext uri="{FF2B5EF4-FFF2-40B4-BE49-F238E27FC236}">
                      <a16:creationId xmlns:a16="http://schemas.microsoft.com/office/drawing/2014/main" id="{00000000-0008-0000-0F00-000014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61" y="2486"/>
                  <a:ext cx="104" cy="38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6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ระดับดินเดิม</a:t>
                  </a:r>
                </a:p>
              </xdr:txBody>
            </xdr:sp>
            <xdr:sp macro="" textlink="">
              <xdr:nvSpPr>
                <xdr:cNvPr id="21" name="Text Box 197">
                  <a:extLst>
                    <a:ext uri="{FF2B5EF4-FFF2-40B4-BE49-F238E27FC236}">
                      <a16:creationId xmlns:a16="http://schemas.microsoft.com/office/drawing/2014/main" id="{00000000-0008-0000-0F00-00001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591" y="2484"/>
                  <a:ext cx="64" cy="20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</a:t>
                  </a:r>
                </a:p>
              </xdr:txBody>
            </xdr:sp>
            <xdr:sp macro="" textlink="">
              <xdr:nvSpPr>
                <xdr:cNvPr id="22" name="Text Box 198">
                  <a:extLst>
                    <a:ext uri="{FF2B5EF4-FFF2-40B4-BE49-F238E27FC236}">
                      <a16:creationId xmlns:a16="http://schemas.microsoft.com/office/drawing/2014/main" id="{00000000-0008-0000-0F00-00001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781" y="2485"/>
                  <a:ext cx="87" cy="24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   </a:t>
                  </a:r>
                </a:p>
              </xdr:txBody>
            </xdr:sp>
            <xdr:sp macro="" textlink="">
              <xdr:nvSpPr>
                <xdr:cNvPr id="23" name="Text Box 199">
                  <a:extLst>
                    <a:ext uri="{FF2B5EF4-FFF2-40B4-BE49-F238E27FC236}">
                      <a16:creationId xmlns:a16="http://schemas.microsoft.com/office/drawing/2014/main" id="{00000000-0008-0000-0F00-000017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992" y="2492"/>
                  <a:ext cx="77" cy="21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 </a:t>
                  </a:r>
                </a:p>
              </xdr:txBody>
            </xdr:sp>
          </xdr:grpSp>
          <xdr:sp macro="" textlink="">
            <xdr:nvSpPr>
              <xdr:cNvPr id="13" name="Line 407">
                <a:extLst>
                  <a:ext uri="{FF2B5EF4-FFF2-40B4-BE49-F238E27FC236}">
                    <a16:creationId xmlns:a16="http://schemas.microsoft.com/office/drawing/2014/main" id="{00000000-0008-0000-0F00-00000D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5047312" y="1785926"/>
                <a:ext cx="0" cy="264795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prstDash val="lgDashDot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8" name="Line 174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433020" y="30972432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" name="Line 174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388351" y="31052574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5" name="Line 161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363081" y="30891543"/>
            <a:ext cx="289374" cy="29961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6" name="Line 17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501743" y="31051500"/>
            <a:ext cx="139837" cy="149806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6</xdr:col>
      <xdr:colOff>121228</xdr:colOff>
      <xdr:row>8</xdr:row>
      <xdr:rowOff>17316</xdr:rowOff>
    </xdr:from>
    <xdr:to>
      <xdr:col>17</xdr:col>
      <xdr:colOff>195373</xdr:colOff>
      <xdr:row>11</xdr:row>
      <xdr:rowOff>228022</xdr:rowOff>
    </xdr:to>
    <xdr:grpSp>
      <xdr:nvGrpSpPr>
        <xdr:cNvPr id="111" name="กลุ่ม 2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GrpSpPr/>
      </xdr:nvGrpSpPr>
      <xdr:grpSpPr>
        <a:xfrm>
          <a:off x="4693228" y="2521030"/>
          <a:ext cx="9027645" cy="1149599"/>
          <a:chOff x="4051391" y="27404490"/>
          <a:chExt cx="8356059" cy="1152000"/>
        </a:xfrm>
      </xdr:grpSpPr>
      <xdr:sp macro="" textlink="">
        <xdr:nvSpPr>
          <xdr:cNvPr id="112" name="Line 125">
            <a:extLst>
              <a:ext uri="{FF2B5EF4-FFF2-40B4-BE49-F238E27FC236}">
                <a16:creationId xmlns:a16="http://schemas.microsoft.com/office/drawing/2014/main" id="{00000000-0008-0000-0F00-00007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051391" y="28271275"/>
            <a:ext cx="83560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3" name="Line 126">
            <a:extLst>
              <a:ext uri="{FF2B5EF4-FFF2-40B4-BE49-F238E27FC236}">
                <a16:creationId xmlns:a16="http://schemas.microsoft.com/office/drawing/2014/main" id="{00000000-0008-0000-0F00-00007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92019" y="28215006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4" name="Line 312">
            <a:extLst>
              <a:ext uri="{FF2B5EF4-FFF2-40B4-BE49-F238E27FC236}">
                <a16:creationId xmlns:a16="http://schemas.microsoft.com/office/drawing/2014/main" id="{00000000-0008-0000-0F00-000072000000}"/>
              </a:ext>
            </a:extLst>
          </xdr:cNvPr>
          <xdr:cNvSpPr>
            <a:spLocks noChangeShapeType="1"/>
          </xdr:cNvSpPr>
        </xdr:nvSpPr>
        <xdr:spPr bwMode="auto">
          <a:xfrm>
            <a:off x="4269844" y="27437854"/>
            <a:ext cx="0" cy="10800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5" name="Line 312">
            <a:extLst>
              <a:ext uri="{FF2B5EF4-FFF2-40B4-BE49-F238E27FC236}">
                <a16:creationId xmlns:a16="http://schemas.microsoft.com/office/drawing/2014/main" id="{00000000-0008-0000-0F00-000073000000}"/>
              </a:ext>
            </a:extLst>
          </xdr:cNvPr>
          <xdr:cNvSpPr>
            <a:spLocks noChangeShapeType="1"/>
          </xdr:cNvSpPr>
        </xdr:nvSpPr>
        <xdr:spPr bwMode="auto">
          <a:xfrm>
            <a:off x="12119672" y="27404490"/>
            <a:ext cx="0" cy="11520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6" name="Line 126">
            <a:extLst>
              <a:ext uri="{FF2B5EF4-FFF2-40B4-BE49-F238E27FC236}">
                <a16:creationId xmlns:a16="http://schemas.microsoft.com/office/drawing/2014/main" id="{00000000-0008-0000-0F00-00007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035118" y="28232712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34979</xdr:colOff>
      <xdr:row>27</xdr:row>
      <xdr:rowOff>33445</xdr:rowOff>
    </xdr:from>
    <xdr:to>
      <xdr:col>6</xdr:col>
      <xdr:colOff>245667</xdr:colOff>
      <xdr:row>29</xdr:row>
      <xdr:rowOff>15440</xdr:rowOff>
    </xdr:to>
    <xdr:grpSp>
      <xdr:nvGrpSpPr>
        <xdr:cNvPr id="117" name="Group 21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GrpSpPr>
          <a:grpSpLocks/>
        </xdr:cNvGrpSpPr>
      </xdr:nvGrpSpPr>
      <xdr:grpSpPr bwMode="auto">
        <a:xfrm>
          <a:off x="538443" y="8483481"/>
          <a:ext cx="4279224" cy="607923"/>
          <a:chOff x="553" y="2795"/>
          <a:chExt cx="346" cy="64"/>
        </a:xfrm>
      </xdr:grpSpPr>
      <xdr:sp macro="" textlink="">
        <xdr:nvSpPr>
          <xdr:cNvPr id="118" name="Oval 6543" descr="5%">
            <a:extLst>
              <a:ext uri="{FF2B5EF4-FFF2-40B4-BE49-F238E27FC236}">
                <a16:creationId xmlns:a16="http://schemas.microsoft.com/office/drawing/2014/main" id="{00000000-0008-0000-0F00-000076000000}"/>
              </a:ext>
            </a:extLst>
          </xdr:cNvPr>
          <xdr:cNvSpPr>
            <a:spLocks noChangeArrowheads="1"/>
          </xdr:cNvSpPr>
        </xdr:nvSpPr>
        <xdr:spPr bwMode="auto">
          <a:xfrm>
            <a:off x="553" y="2795"/>
            <a:ext cx="59" cy="64"/>
          </a:xfrm>
          <a:prstGeom prst="ellips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6544">
            <a:extLst>
              <a:ext uri="{FF2B5EF4-FFF2-40B4-BE49-F238E27FC236}">
                <a16:creationId xmlns:a16="http://schemas.microsoft.com/office/drawing/2014/main" id="{00000000-0008-0000-0F00-000077000000}"/>
              </a:ext>
            </a:extLst>
          </xdr:cNvPr>
          <xdr:cNvSpPr>
            <a:spLocks noChangeShapeType="1"/>
          </xdr:cNvSpPr>
        </xdr:nvSpPr>
        <xdr:spPr bwMode="auto">
          <a:xfrm>
            <a:off x="553" y="2827"/>
            <a:ext cx="346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806819</xdr:colOff>
      <xdr:row>9</xdr:row>
      <xdr:rowOff>147280</xdr:rowOff>
    </xdr:from>
    <xdr:to>
      <xdr:col>11</xdr:col>
      <xdr:colOff>52968</xdr:colOff>
      <xdr:row>10</xdr:row>
      <xdr:rowOff>130178</xdr:rowOff>
    </xdr:to>
    <xdr:sp macro="" textlink="">
      <xdr:nvSpPr>
        <xdr:cNvPr id="138" name="Text Box 197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SpPr txBox="1">
          <a:spLocks noChangeArrowheads="1"/>
        </xdr:cNvSpPr>
      </xdr:nvSpPr>
      <xdr:spPr bwMode="auto">
        <a:xfrm>
          <a:off x="8579219" y="2976205"/>
          <a:ext cx="998749" cy="29722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ผิวจราจร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6</xdr:col>
      <xdr:colOff>168088</xdr:colOff>
      <xdr:row>12</xdr:row>
      <xdr:rowOff>224117</xdr:rowOff>
    </xdr:from>
    <xdr:to>
      <xdr:col>10</xdr:col>
      <xdr:colOff>1312061</xdr:colOff>
      <xdr:row>13</xdr:row>
      <xdr:rowOff>22412</xdr:rowOff>
    </xdr:to>
    <xdr:sp macro="" textlink="">
      <xdr:nvSpPr>
        <xdr:cNvPr id="142" name="Line 220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SpPr>
          <a:spLocks noChangeShapeType="1"/>
        </xdr:cNvSpPr>
      </xdr:nvSpPr>
      <xdr:spPr bwMode="auto">
        <a:xfrm flipV="1">
          <a:off x="4740088" y="3996017"/>
          <a:ext cx="4344373" cy="112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1345317</xdr:colOff>
      <xdr:row>12</xdr:row>
      <xdr:rowOff>224118</xdr:rowOff>
    </xdr:from>
    <xdr:to>
      <xdr:col>16</xdr:col>
      <xdr:colOff>358588</xdr:colOff>
      <xdr:row>13</xdr:row>
      <xdr:rowOff>33618</xdr:rowOff>
    </xdr:to>
    <xdr:sp macro="" textlink="">
      <xdr:nvSpPr>
        <xdr:cNvPr id="143" name="Line 222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SpPr>
          <a:spLocks noChangeShapeType="1"/>
        </xdr:cNvSpPr>
      </xdr:nvSpPr>
      <xdr:spPr bwMode="auto">
        <a:xfrm>
          <a:off x="9117717" y="3996018"/>
          <a:ext cx="4252021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7</xdr:col>
      <xdr:colOff>419570</xdr:colOff>
      <xdr:row>10</xdr:row>
      <xdr:rowOff>67239</xdr:rowOff>
    </xdr:from>
    <xdr:to>
      <xdr:col>7</xdr:col>
      <xdr:colOff>419570</xdr:colOff>
      <xdr:row>11</xdr:row>
      <xdr:rowOff>112507</xdr:rowOff>
    </xdr:to>
    <xdr:sp macro="" textlink="">
      <xdr:nvSpPr>
        <xdr:cNvPr id="148" name="Line 307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SpPr>
          <a:spLocks noChangeShapeType="1"/>
        </xdr:cNvSpPr>
      </xdr:nvSpPr>
      <xdr:spPr bwMode="auto">
        <a:xfrm>
          <a:off x="6410795" y="3210489"/>
          <a:ext cx="0" cy="3595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7</xdr:col>
      <xdr:colOff>358587</xdr:colOff>
      <xdr:row>10</xdr:row>
      <xdr:rowOff>183469</xdr:rowOff>
    </xdr:from>
    <xdr:to>
      <xdr:col>8</xdr:col>
      <xdr:colOff>10989</xdr:colOff>
      <xdr:row>10</xdr:row>
      <xdr:rowOff>306962</xdr:rowOff>
    </xdr:to>
    <xdr:sp macro="" textlink="">
      <xdr:nvSpPr>
        <xdr:cNvPr id="149" name="Line 310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SpPr>
          <a:spLocks noChangeShapeType="1"/>
        </xdr:cNvSpPr>
      </xdr:nvSpPr>
      <xdr:spPr bwMode="auto">
        <a:xfrm flipV="1">
          <a:off x="6349812" y="3326719"/>
          <a:ext cx="119127" cy="1234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14</xdr:col>
      <xdr:colOff>318719</xdr:colOff>
      <xdr:row>10</xdr:row>
      <xdr:rowOff>78446</xdr:rowOff>
    </xdr:from>
    <xdr:to>
      <xdr:col>14</xdr:col>
      <xdr:colOff>318719</xdr:colOff>
      <xdr:row>11</xdr:row>
      <xdr:rowOff>123714</xdr:rowOff>
    </xdr:to>
    <xdr:sp macro="" textlink="">
      <xdr:nvSpPr>
        <xdr:cNvPr id="150" name="Line 307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SpPr>
          <a:spLocks noChangeShapeType="1"/>
        </xdr:cNvSpPr>
      </xdr:nvSpPr>
      <xdr:spPr bwMode="auto">
        <a:xfrm>
          <a:off x="11872544" y="3221696"/>
          <a:ext cx="0" cy="3595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14</xdr:col>
      <xdr:colOff>257736</xdr:colOff>
      <xdr:row>10</xdr:row>
      <xdr:rowOff>194676</xdr:rowOff>
    </xdr:from>
    <xdr:to>
      <xdr:col>14</xdr:col>
      <xdr:colOff>380785</xdr:colOff>
      <xdr:row>11</xdr:row>
      <xdr:rowOff>4404</xdr:rowOff>
    </xdr:to>
    <xdr:sp macro="" textlink="">
      <xdr:nvSpPr>
        <xdr:cNvPr id="151" name="Line 310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SpPr>
          <a:spLocks noChangeShapeType="1"/>
        </xdr:cNvSpPr>
      </xdr:nvSpPr>
      <xdr:spPr bwMode="auto">
        <a:xfrm flipV="1">
          <a:off x="11811561" y="3337926"/>
          <a:ext cx="123049" cy="12405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502228</xdr:colOff>
      <xdr:row>9</xdr:row>
      <xdr:rowOff>273600</xdr:rowOff>
    </xdr:from>
    <xdr:to>
      <xdr:col>7</xdr:col>
      <xdr:colOff>294409</xdr:colOff>
      <xdr:row>10</xdr:row>
      <xdr:rowOff>294408</xdr:rowOff>
    </xdr:to>
    <xdr:sp macro="" textlink="">
      <xdr:nvSpPr>
        <xdr:cNvPr id="152" name="Text Box 197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SpPr txBox="1">
          <a:spLocks noChangeArrowheads="1"/>
        </xdr:cNvSpPr>
      </xdr:nvSpPr>
      <xdr:spPr bwMode="auto">
        <a:xfrm>
          <a:off x="5074228" y="3102525"/>
          <a:ext cx="1211406" cy="33513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ไหล่ทาง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14</xdr:col>
      <xdr:colOff>432954</xdr:colOff>
      <xdr:row>9</xdr:row>
      <xdr:rowOff>283202</xdr:rowOff>
    </xdr:from>
    <xdr:to>
      <xdr:col>16</xdr:col>
      <xdr:colOff>277090</xdr:colOff>
      <xdr:row>10</xdr:row>
      <xdr:rowOff>311726</xdr:rowOff>
    </xdr:to>
    <xdr:sp macro="" textlink="">
      <xdr:nvSpPr>
        <xdr:cNvPr id="153" name="Text Box 197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SpPr txBox="1">
          <a:spLocks noChangeArrowheads="1"/>
        </xdr:cNvSpPr>
      </xdr:nvSpPr>
      <xdr:spPr bwMode="auto">
        <a:xfrm>
          <a:off x="11986779" y="3112127"/>
          <a:ext cx="1301461" cy="34284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ไหล่ทาง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6</xdr:col>
      <xdr:colOff>134470</xdr:colOff>
      <xdr:row>8</xdr:row>
      <xdr:rowOff>179293</xdr:rowOff>
    </xdr:from>
    <xdr:to>
      <xdr:col>17</xdr:col>
      <xdr:colOff>208615</xdr:colOff>
      <xdr:row>8</xdr:row>
      <xdr:rowOff>179293</xdr:rowOff>
    </xdr:to>
    <xdr:sp macro="" textlink="">
      <xdr:nvSpPr>
        <xdr:cNvPr id="154" name="Line 125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SpPr>
          <a:spLocks noChangeShapeType="1"/>
        </xdr:cNvSpPr>
      </xdr:nvSpPr>
      <xdr:spPr bwMode="auto">
        <a:xfrm flipV="1">
          <a:off x="4706470" y="2693893"/>
          <a:ext cx="904669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280147</xdr:colOff>
      <xdr:row>8</xdr:row>
      <xdr:rowOff>112059</xdr:rowOff>
    </xdr:from>
    <xdr:to>
      <xdr:col>6</xdr:col>
      <xdr:colOff>470267</xdr:colOff>
      <xdr:row>8</xdr:row>
      <xdr:rowOff>235885</xdr:rowOff>
    </xdr:to>
    <xdr:sp macro="" textlink="">
      <xdr:nvSpPr>
        <xdr:cNvPr id="155" name="Line 126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SpPr>
          <a:spLocks noChangeShapeType="1"/>
        </xdr:cNvSpPr>
      </xdr:nvSpPr>
      <xdr:spPr bwMode="auto">
        <a:xfrm flipV="1">
          <a:off x="4852147" y="2626659"/>
          <a:ext cx="190120" cy="1238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16</xdr:col>
      <xdr:colOff>320488</xdr:colOff>
      <xdr:row>8</xdr:row>
      <xdr:rowOff>107577</xdr:rowOff>
    </xdr:from>
    <xdr:to>
      <xdr:col>16</xdr:col>
      <xdr:colOff>510608</xdr:colOff>
      <xdr:row>8</xdr:row>
      <xdr:rowOff>231403</xdr:rowOff>
    </xdr:to>
    <xdr:sp macro="" textlink="">
      <xdr:nvSpPr>
        <xdr:cNvPr id="156" name="Line 126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SpPr>
          <a:spLocks noChangeShapeType="1"/>
        </xdr:cNvSpPr>
      </xdr:nvSpPr>
      <xdr:spPr bwMode="auto">
        <a:xfrm flipV="1">
          <a:off x="13331638" y="2622177"/>
          <a:ext cx="190120" cy="1238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549087</xdr:colOff>
      <xdr:row>7</xdr:row>
      <xdr:rowOff>154004</xdr:rowOff>
    </xdr:from>
    <xdr:to>
      <xdr:col>11</xdr:col>
      <xdr:colOff>212910</xdr:colOff>
      <xdr:row>8</xdr:row>
      <xdr:rowOff>136902</xdr:rowOff>
    </xdr:to>
    <xdr:sp macro="" textlink="">
      <xdr:nvSpPr>
        <xdr:cNvPr id="157" name="Text Box 197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 txBox="1">
          <a:spLocks noChangeArrowheads="1"/>
        </xdr:cNvSpPr>
      </xdr:nvSpPr>
      <xdr:spPr bwMode="auto">
        <a:xfrm>
          <a:off x="8321487" y="2354279"/>
          <a:ext cx="1416423" cy="29722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ความกว้างคันทาง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231321</xdr:colOff>
      <xdr:row>13</xdr:row>
      <xdr:rowOff>81643</xdr:rowOff>
    </xdr:from>
    <xdr:to>
      <xdr:col>3</xdr:col>
      <xdr:colOff>583993</xdr:colOff>
      <xdr:row>14</xdr:row>
      <xdr:rowOff>135411</xdr:rowOff>
    </xdr:to>
    <xdr:grpSp>
      <xdr:nvGrpSpPr>
        <xdr:cNvPr id="213" name="กลุ่ม 212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GrpSpPr/>
      </xdr:nvGrpSpPr>
      <xdr:grpSpPr>
        <a:xfrm>
          <a:off x="1387928" y="4150179"/>
          <a:ext cx="1291565" cy="366732"/>
          <a:chOff x="18265588" y="4706471"/>
          <a:chExt cx="1293166" cy="367531"/>
        </a:xfrm>
      </xdr:grpSpPr>
      <xdr:sp macro="" textlink="">
        <xdr:nvSpPr>
          <xdr:cNvPr id="193" name="Line 177">
            <a:extLst>
              <a:ext uri="{FF2B5EF4-FFF2-40B4-BE49-F238E27FC236}">
                <a16:creationId xmlns:a16="http://schemas.microsoft.com/office/drawing/2014/main" id="{00000000-0008-0000-0F00-0000C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265588" y="4706471"/>
            <a:ext cx="237659" cy="34294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4" name="Line 178">
            <a:extLst>
              <a:ext uri="{FF2B5EF4-FFF2-40B4-BE49-F238E27FC236}">
                <a16:creationId xmlns:a16="http://schemas.microsoft.com/office/drawing/2014/main" id="{00000000-0008-0000-0F00-0000C2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356125" y="4706471"/>
            <a:ext cx="237659" cy="34294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5" name="Line 179">
            <a:extLst>
              <a:ext uri="{FF2B5EF4-FFF2-40B4-BE49-F238E27FC236}">
                <a16:creationId xmlns:a16="http://schemas.microsoft.com/office/drawing/2014/main" id="{00000000-0008-0000-0F00-0000C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446661" y="4718765"/>
            <a:ext cx="203708" cy="34294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6" name="Line 182">
            <a:extLst>
              <a:ext uri="{FF2B5EF4-FFF2-40B4-BE49-F238E27FC236}">
                <a16:creationId xmlns:a16="http://schemas.microsoft.com/office/drawing/2014/main" id="{00000000-0008-0000-0F00-0000C4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582466" y="4854001"/>
            <a:ext cx="67903" cy="20770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7" name="Line 183">
            <a:extLst>
              <a:ext uri="{FF2B5EF4-FFF2-40B4-BE49-F238E27FC236}">
                <a16:creationId xmlns:a16="http://schemas.microsoft.com/office/drawing/2014/main" id="{00000000-0008-0000-0F00-0000C5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525881" y="4940060"/>
            <a:ext cx="79220" cy="121648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8" name="Line 184">
            <a:extLst>
              <a:ext uri="{FF2B5EF4-FFF2-40B4-BE49-F238E27FC236}">
                <a16:creationId xmlns:a16="http://schemas.microsoft.com/office/drawing/2014/main" id="{00000000-0008-0000-0F00-0000C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650369" y="4706471"/>
            <a:ext cx="203708" cy="34294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9" name="Line 186">
            <a:extLst>
              <a:ext uri="{FF2B5EF4-FFF2-40B4-BE49-F238E27FC236}">
                <a16:creationId xmlns:a16="http://schemas.microsoft.com/office/drawing/2014/main" id="{00000000-0008-0000-0F00-0000C7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650369" y="4706471"/>
            <a:ext cx="101854" cy="18441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0" name="Line 187">
            <a:extLst>
              <a:ext uri="{FF2B5EF4-FFF2-40B4-BE49-F238E27FC236}">
                <a16:creationId xmlns:a16="http://schemas.microsoft.com/office/drawing/2014/main" id="{00000000-0008-0000-0F00-0000C8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627735" y="4767942"/>
            <a:ext cx="90537" cy="172118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1" name="Line 190">
            <a:extLst>
              <a:ext uri="{FF2B5EF4-FFF2-40B4-BE49-F238E27FC236}">
                <a16:creationId xmlns:a16="http://schemas.microsoft.com/office/drawing/2014/main" id="{00000000-0008-0000-0F00-0000C9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740906" y="4854001"/>
            <a:ext cx="138823" cy="20770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2" name="Line 191">
            <a:extLst>
              <a:ext uri="{FF2B5EF4-FFF2-40B4-BE49-F238E27FC236}">
                <a16:creationId xmlns:a16="http://schemas.microsoft.com/office/drawing/2014/main" id="{00000000-0008-0000-0F00-0000CA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706954" y="4927765"/>
            <a:ext cx="90537" cy="146237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3" name="Line 188">
            <a:extLst>
              <a:ext uri="{FF2B5EF4-FFF2-40B4-BE49-F238E27FC236}">
                <a16:creationId xmlns:a16="http://schemas.microsoft.com/office/drawing/2014/main" id="{00000000-0008-0000-0F00-0000CB000000}"/>
              </a:ext>
            </a:extLst>
          </xdr:cNvPr>
          <xdr:cNvSpPr>
            <a:spLocks noChangeShapeType="1"/>
          </xdr:cNvSpPr>
        </xdr:nvSpPr>
        <xdr:spPr bwMode="auto">
          <a:xfrm>
            <a:off x="18842759" y="4731059"/>
            <a:ext cx="240677" cy="31835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4" name="Line 189">
            <a:extLst>
              <a:ext uri="{FF2B5EF4-FFF2-40B4-BE49-F238E27FC236}">
                <a16:creationId xmlns:a16="http://schemas.microsoft.com/office/drawing/2014/main" id="{00000000-0008-0000-0F00-0000CC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8808808" y="4829412"/>
            <a:ext cx="172774" cy="24459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5" name="Line 192">
            <a:extLst>
              <a:ext uri="{FF2B5EF4-FFF2-40B4-BE49-F238E27FC236}">
                <a16:creationId xmlns:a16="http://schemas.microsoft.com/office/drawing/2014/main" id="{00000000-0008-0000-0F00-0000C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9049485" y="4731059"/>
            <a:ext cx="237659" cy="34294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6" name="Line 193">
            <a:extLst>
              <a:ext uri="{FF2B5EF4-FFF2-40B4-BE49-F238E27FC236}">
                <a16:creationId xmlns:a16="http://schemas.microsoft.com/office/drawing/2014/main" id="{00000000-0008-0000-0F00-0000CE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9015534" y="4743353"/>
            <a:ext cx="169756" cy="22129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7" name="Line 194">
            <a:extLst>
              <a:ext uri="{FF2B5EF4-FFF2-40B4-BE49-F238E27FC236}">
                <a16:creationId xmlns:a16="http://schemas.microsoft.com/office/drawing/2014/main" id="{00000000-0008-0000-0F00-0000C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958948" y="4731059"/>
            <a:ext cx="147122" cy="172118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8" name="Line 195">
            <a:extLst>
              <a:ext uri="{FF2B5EF4-FFF2-40B4-BE49-F238E27FC236}">
                <a16:creationId xmlns:a16="http://schemas.microsoft.com/office/drawing/2014/main" id="{00000000-0008-0000-0F00-0000D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8936314" y="4731059"/>
            <a:ext cx="90537" cy="9835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9" name="Line 196">
            <a:extLst>
              <a:ext uri="{FF2B5EF4-FFF2-40B4-BE49-F238E27FC236}">
                <a16:creationId xmlns:a16="http://schemas.microsoft.com/office/drawing/2014/main" id="{00000000-0008-0000-0F00-0000D1000000}"/>
              </a:ext>
            </a:extLst>
          </xdr:cNvPr>
          <xdr:cNvSpPr>
            <a:spLocks noChangeShapeType="1"/>
          </xdr:cNvSpPr>
        </xdr:nvSpPr>
        <xdr:spPr bwMode="auto">
          <a:xfrm>
            <a:off x="19275827" y="4731059"/>
            <a:ext cx="282927" cy="30606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10" name="Line 197">
            <a:extLst>
              <a:ext uri="{FF2B5EF4-FFF2-40B4-BE49-F238E27FC236}">
                <a16:creationId xmlns:a16="http://schemas.microsoft.com/office/drawing/2014/main" id="{00000000-0008-0000-0F00-0000D2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9230558" y="4829412"/>
            <a:ext cx="226342" cy="22000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11" name="Line 198">
            <a:extLst>
              <a:ext uri="{FF2B5EF4-FFF2-40B4-BE49-F238E27FC236}">
                <a16:creationId xmlns:a16="http://schemas.microsoft.com/office/drawing/2014/main" id="{00000000-0008-0000-0F00-0000D3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9173973" y="4890883"/>
            <a:ext cx="113171" cy="183119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12" name="Line 199">
            <a:extLst>
              <a:ext uri="{FF2B5EF4-FFF2-40B4-BE49-F238E27FC236}">
                <a16:creationId xmlns:a16="http://schemas.microsoft.com/office/drawing/2014/main" id="{00000000-0008-0000-0F00-0000D4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9124715" y="4962041"/>
            <a:ext cx="56585" cy="7247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6</xdr:col>
      <xdr:colOff>190500</xdr:colOff>
      <xdr:row>15</xdr:row>
      <xdr:rowOff>149679</xdr:rowOff>
    </xdr:from>
    <xdr:to>
      <xdr:col>14</xdr:col>
      <xdr:colOff>394607</xdr:colOff>
      <xdr:row>19</xdr:row>
      <xdr:rowOff>13608</xdr:rowOff>
    </xdr:to>
    <xdr:sp macro="" textlink="">
      <xdr:nvSpPr>
        <xdr:cNvPr id="216" name="สี่เหลี่ยมผืนผ้า 215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SpPr/>
      </xdr:nvSpPr>
      <xdr:spPr bwMode="auto">
        <a:xfrm>
          <a:off x="4762500" y="4844143"/>
          <a:ext cx="7170964" cy="1115786"/>
        </a:xfrm>
        <a:prstGeom prst="rect">
          <a:avLst/>
        </a:prstGeom>
        <a:solidFill>
          <a:sysClr val="window" lastClr="FFFFFF"/>
        </a:solidFill>
        <a:ln w="12700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11</xdr:col>
      <xdr:colOff>627529</xdr:colOff>
      <xdr:row>13</xdr:row>
      <xdr:rowOff>145677</xdr:rowOff>
    </xdr:from>
    <xdr:to>
      <xdr:col>13</xdr:col>
      <xdr:colOff>653206</xdr:colOff>
      <xdr:row>21</xdr:row>
      <xdr:rowOff>190500</xdr:rowOff>
    </xdr:to>
    <xdr:grpSp>
      <xdr:nvGrpSpPr>
        <xdr:cNvPr id="163" name="กลุ่ม 162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GrpSpPr/>
      </xdr:nvGrpSpPr>
      <xdr:grpSpPr>
        <a:xfrm>
          <a:off x="10138922" y="4214213"/>
          <a:ext cx="1399998" cy="2548537"/>
          <a:chOff x="5056388" y="4314260"/>
          <a:chExt cx="1404000" cy="2465299"/>
        </a:xfrm>
      </xdr:grpSpPr>
      <xdr:sp macro="" textlink="">
        <xdr:nvSpPr>
          <xdr:cNvPr id="164" name="Line 250">
            <a:extLst>
              <a:ext uri="{FF2B5EF4-FFF2-40B4-BE49-F238E27FC236}">
                <a16:creationId xmlns:a16="http://schemas.microsoft.com/office/drawing/2014/main" id="{00000000-0008-0000-0F00-0000A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056388" y="4314260"/>
            <a:ext cx="0" cy="244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65" name="Line 586">
            <a:extLst>
              <a:ext uri="{FF2B5EF4-FFF2-40B4-BE49-F238E27FC236}">
                <a16:creationId xmlns:a16="http://schemas.microsoft.com/office/drawing/2014/main" id="{00000000-0008-0000-0F00-0000A5000000}"/>
              </a:ext>
            </a:extLst>
          </xdr:cNvPr>
          <xdr:cNvSpPr>
            <a:spLocks noChangeShapeType="1"/>
          </xdr:cNvSpPr>
        </xdr:nvSpPr>
        <xdr:spPr bwMode="auto">
          <a:xfrm>
            <a:off x="5056388" y="6779559"/>
            <a:ext cx="14040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6" name="Line 250">
            <a:extLst>
              <a:ext uri="{FF2B5EF4-FFF2-40B4-BE49-F238E27FC236}">
                <a16:creationId xmlns:a16="http://schemas.microsoft.com/office/drawing/2014/main" id="{00000000-0008-0000-0F00-0000A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277966" y="4504764"/>
            <a:ext cx="0" cy="226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67" name="Line 250">
            <a:extLst>
              <a:ext uri="{FF2B5EF4-FFF2-40B4-BE49-F238E27FC236}">
                <a16:creationId xmlns:a16="http://schemas.microsoft.com/office/drawing/2014/main" id="{00000000-0008-0000-0F00-0000A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513292" y="4829738"/>
            <a:ext cx="0" cy="1944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6</xdr:col>
      <xdr:colOff>1190366</xdr:colOff>
      <xdr:row>13</xdr:row>
      <xdr:rowOff>235319</xdr:rowOff>
    </xdr:from>
    <xdr:to>
      <xdr:col>9</xdr:col>
      <xdr:colOff>39425</xdr:colOff>
      <xdr:row>21</xdr:row>
      <xdr:rowOff>190500</xdr:rowOff>
    </xdr:to>
    <xdr:grpSp>
      <xdr:nvGrpSpPr>
        <xdr:cNvPr id="158" name="กลุ่ม 157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GrpSpPr/>
      </xdr:nvGrpSpPr>
      <xdr:grpSpPr>
        <a:xfrm>
          <a:off x="5762366" y="4303855"/>
          <a:ext cx="1379988" cy="2458895"/>
          <a:chOff x="5056388" y="4314260"/>
          <a:chExt cx="1404000" cy="2465299"/>
        </a:xfrm>
      </xdr:grpSpPr>
      <xdr:sp macro="" textlink="">
        <xdr:nvSpPr>
          <xdr:cNvPr id="159" name="Line 250">
            <a:extLst>
              <a:ext uri="{FF2B5EF4-FFF2-40B4-BE49-F238E27FC236}">
                <a16:creationId xmlns:a16="http://schemas.microsoft.com/office/drawing/2014/main" id="{00000000-0008-0000-0F00-00009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056388" y="4314260"/>
            <a:ext cx="0" cy="244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60" name="Line 586">
            <a:extLst>
              <a:ext uri="{FF2B5EF4-FFF2-40B4-BE49-F238E27FC236}">
                <a16:creationId xmlns:a16="http://schemas.microsoft.com/office/drawing/2014/main" id="{00000000-0008-0000-0F00-0000A0000000}"/>
              </a:ext>
            </a:extLst>
          </xdr:cNvPr>
          <xdr:cNvSpPr>
            <a:spLocks noChangeShapeType="1"/>
          </xdr:cNvSpPr>
        </xdr:nvSpPr>
        <xdr:spPr bwMode="auto">
          <a:xfrm>
            <a:off x="5056388" y="6779559"/>
            <a:ext cx="14040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Line 250">
            <a:extLst>
              <a:ext uri="{FF2B5EF4-FFF2-40B4-BE49-F238E27FC236}">
                <a16:creationId xmlns:a16="http://schemas.microsoft.com/office/drawing/2014/main" id="{00000000-0008-0000-0F00-0000A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277966" y="4504764"/>
            <a:ext cx="0" cy="226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62" name="Line 250">
            <a:extLst>
              <a:ext uri="{FF2B5EF4-FFF2-40B4-BE49-F238E27FC236}">
                <a16:creationId xmlns:a16="http://schemas.microsoft.com/office/drawing/2014/main" id="{00000000-0008-0000-0F00-0000A2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513292" y="4829738"/>
            <a:ext cx="0" cy="1944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</xdr:col>
      <xdr:colOff>625929</xdr:colOff>
      <xdr:row>12</xdr:row>
      <xdr:rowOff>285750</xdr:rowOff>
    </xdr:from>
    <xdr:to>
      <xdr:col>5</xdr:col>
      <xdr:colOff>25267</xdr:colOff>
      <xdr:row>13</xdr:row>
      <xdr:rowOff>94973</xdr:rowOff>
    </xdr:to>
    <xdr:sp macro="" textlink="">
      <xdr:nvSpPr>
        <xdr:cNvPr id="235" name="Freeform 118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SpPr>
          <a:spLocks/>
        </xdr:cNvSpPr>
      </xdr:nvSpPr>
      <xdr:spPr bwMode="auto">
        <a:xfrm>
          <a:off x="1130194" y="4050926"/>
          <a:ext cx="2682661" cy="122988"/>
        </a:xfrm>
        <a:custGeom>
          <a:avLst/>
          <a:gdLst>
            <a:gd name="T0" fmla="*/ 0 w 376"/>
            <a:gd name="T1" fmla="*/ 2147483647 h 17"/>
            <a:gd name="T2" fmla="*/ 2147483647 w 376"/>
            <a:gd name="T3" fmla="*/ 2147483647 h 17"/>
            <a:gd name="T4" fmla="*/ 2147483647 w 376"/>
            <a:gd name="T5" fmla="*/ 2147483647 h 17"/>
            <a:gd name="T6" fmla="*/ 2147483647 w 376"/>
            <a:gd name="T7" fmla="*/ 2147483647 h 17"/>
            <a:gd name="T8" fmla="*/ 2147483647 w 376"/>
            <a:gd name="T9" fmla="*/ 2147483647 h 17"/>
            <a:gd name="T10" fmla="*/ 2147483647 w 376"/>
            <a:gd name="T11" fmla="*/ 2147483647 h 17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76"/>
            <a:gd name="T19" fmla="*/ 0 h 17"/>
            <a:gd name="T20" fmla="*/ 376 w 376"/>
            <a:gd name="T21" fmla="*/ 17 h 17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76" h="17">
              <a:moveTo>
                <a:pt x="0" y="5"/>
              </a:moveTo>
              <a:cubicBezTo>
                <a:pt x="23" y="4"/>
                <a:pt x="36" y="3"/>
                <a:pt x="59" y="4"/>
              </a:cubicBezTo>
              <a:cubicBezTo>
                <a:pt x="79" y="17"/>
                <a:pt x="111" y="6"/>
                <a:pt x="136" y="4"/>
              </a:cubicBezTo>
              <a:cubicBezTo>
                <a:pt x="184" y="7"/>
                <a:pt x="165" y="6"/>
                <a:pt x="195" y="8"/>
              </a:cubicBezTo>
              <a:cubicBezTo>
                <a:pt x="225" y="5"/>
                <a:pt x="256" y="4"/>
                <a:pt x="286" y="3"/>
              </a:cubicBezTo>
              <a:cubicBezTo>
                <a:pt x="316" y="0"/>
                <a:pt x="346" y="6"/>
                <a:pt x="376" y="6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1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3</xdr:col>
      <xdr:colOff>694765</xdr:colOff>
      <xdr:row>13</xdr:row>
      <xdr:rowOff>33618</xdr:rowOff>
    </xdr:from>
    <xdr:to>
      <xdr:col>6</xdr:col>
      <xdr:colOff>1029055</xdr:colOff>
      <xdr:row>19</xdr:row>
      <xdr:rowOff>110417</xdr:rowOff>
    </xdr:to>
    <xdr:pic>
      <xdr:nvPicPr>
        <xdr:cNvPr id="236" name="Picture 2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2200"/>
        <a:stretch>
          <a:fillRect/>
        </a:stretch>
      </xdr:blipFill>
      <xdr:spPr bwMode="auto">
        <a:xfrm>
          <a:off x="2790265" y="4112559"/>
          <a:ext cx="2821996" cy="1959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112059</xdr:colOff>
      <xdr:row>12</xdr:row>
      <xdr:rowOff>224118</xdr:rowOff>
    </xdr:from>
    <xdr:to>
      <xdr:col>10</xdr:col>
      <xdr:colOff>1189911</xdr:colOff>
      <xdr:row>13</xdr:row>
      <xdr:rowOff>165339</xdr:rowOff>
    </xdr:to>
    <xdr:sp macro="" textlink="">
      <xdr:nvSpPr>
        <xdr:cNvPr id="237" name="รูปแบบอิสระ 236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SpPr/>
      </xdr:nvSpPr>
      <xdr:spPr bwMode="auto">
        <a:xfrm>
          <a:off x="4695265" y="3989294"/>
          <a:ext cx="4293940" cy="254986"/>
        </a:xfrm>
        <a:custGeom>
          <a:avLst/>
          <a:gdLst>
            <a:gd name="connsiteX0" fmla="*/ 4282109 w 4298674"/>
            <a:gd name="connsiteY0" fmla="*/ 0 h 256761"/>
            <a:gd name="connsiteX1" fmla="*/ 4298674 w 4298674"/>
            <a:gd name="connsiteY1" fmla="*/ 173935 h 256761"/>
            <a:gd name="connsiteX2" fmla="*/ 0 w 4298674"/>
            <a:gd name="connsiteY2" fmla="*/ 256761 h 256761"/>
            <a:gd name="connsiteX3" fmla="*/ 8283 w 4298674"/>
            <a:gd name="connsiteY3" fmla="*/ 107674 h 256761"/>
            <a:gd name="connsiteX4" fmla="*/ 2319131 w 4298674"/>
            <a:gd name="connsiteY4" fmla="*/ 57978 h 256761"/>
            <a:gd name="connsiteX5" fmla="*/ 4282109 w 4298674"/>
            <a:gd name="connsiteY5" fmla="*/ 0 h 2567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298674" h="256761">
              <a:moveTo>
                <a:pt x="4282109" y="0"/>
              </a:moveTo>
              <a:lnTo>
                <a:pt x="4298674" y="173935"/>
              </a:lnTo>
              <a:lnTo>
                <a:pt x="0" y="256761"/>
              </a:lnTo>
              <a:lnTo>
                <a:pt x="8283" y="107674"/>
              </a:lnTo>
              <a:lnTo>
                <a:pt x="2319131" y="57978"/>
              </a:lnTo>
              <a:lnTo>
                <a:pt x="4282109" y="0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9525">
          <a:solidFill>
            <a:sysClr val="windowText" lastClr="000000"/>
          </a:solidFill>
          <a:round/>
          <a:headEnd/>
          <a:tailEnd/>
        </a:ln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th-TH" sz="1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133350</xdr:colOff>
      <xdr:row>12</xdr:row>
      <xdr:rowOff>224118</xdr:rowOff>
    </xdr:from>
    <xdr:to>
      <xdr:col>10</xdr:col>
      <xdr:colOff>1173426</xdr:colOff>
      <xdr:row>12</xdr:row>
      <xdr:rowOff>304800</xdr:rowOff>
    </xdr:to>
    <xdr:cxnSp macro="">
      <xdr:nvCxnSpPr>
        <xdr:cNvPr id="250" name="ตัวเชื่อมต่อตรง 249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CxnSpPr>
          <a:endCxn id="237" idx="0"/>
        </xdr:cNvCxnSpPr>
      </xdr:nvCxnSpPr>
      <xdr:spPr>
        <a:xfrm flipV="1">
          <a:off x="4705350" y="3996018"/>
          <a:ext cx="4240476" cy="80682"/>
        </a:xfrm>
        <a:prstGeom prst="line">
          <a:avLst/>
        </a:prstGeom>
        <a:ln w="381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180975</xdr:colOff>
      <xdr:row>13</xdr:row>
      <xdr:rowOff>52108</xdr:rowOff>
    </xdr:from>
    <xdr:to>
      <xdr:col>18</xdr:col>
      <xdr:colOff>462642</xdr:colOff>
      <xdr:row>19</xdr:row>
      <xdr:rowOff>163126</xdr:rowOff>
    </xdr:to>
    <xdr:pic>
      <xdr:nvPicPr>
        <xdr:cNvPr id="253" name="Picture 4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50563" y="4131049"/>
          <a:ext cx="2847814" cy="19936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1173426</xdr:colOff>
      <xdr:row>12</xdr:row>
      <xdr:rowOff>224118</xdr:rowOff>
    </xdr:from>
    <xdr:to>
      <xdr:col>16</xdr:col>
      <xdr:colOff>323375</xdr:colOff>
      <xdr:row>13</xdr:row>
      <xdr:rowOff>8682</xdr:rowOff>
    </xdr:to>
    <xdr:cxnSp macro="">
      <xdr:nvCxnSpPr>
        <xdr:cNvPr id="252" name="ตัวเชื่อมต่อตรง 251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CxnSpPr>
          <a:stCxn id="237" idx="0"/>
          <a:endCxn id="214" idx="6"/>
        </xdr:cNvCxnSpPr>
      </xdr:nvCxnSpPr>
      <xdr:spPr>
        <a:xfrm>
          <a:off x="8945826" y="3996018"/>
          <a:ext cx="4388699" cy="9888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1176618</xdr:colOff>
      <xdr:row>12</xdr:row>
      <xdr:rowOff>246529</xdr:rowOff>
    </xdr:from>
    <xdr:to>
      <xdr:col>16</xdr:col>
      <xdr:colOff>301342</xdr:colOff>
      <xdr:row>13</xdr:row>
      <xdr:rowOff>171185</xdr:rowOff>
    </xdr:to>
    <xdr:sp macro="" textlink="">
      <xdr:nvSpPr>
        <xdr:cNvPr id="254" name="รูปแบบอิสระ 253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SpPr/>
      </xdr:nvSpPr>
      <xdr:spPr bwMode="auto">
        <a:xfrm>
          <a:off x="8975912" y="4011705"/>
          <a:ext cx="4369077" cy="238421"/>
        </a:xfrm>
        <a:custGeom>
          <a:avLst/>
          <a:gdLst>
            <a:gd name="connsiteX0" fmla="*/ 0 w 4364935"/>
            <a:gd name="connsiteY0" fmla="*/ 0 h 240196"/>
            <a:gd name="connsiteX1" fmla="*/ 0 w 4364935"/>
            <a:gd name="connsiteY1" fmla="*/ 165653 h 240196"/>
            <a:gd name="connsiteX2" fmla="*/ 1813891 w 4364935"/>
            <a:gd name="connsiteY2" fmla="*/ 207066 h 240196"/>
            <a:gd name="connsiteX3" fmla="*/ 2973457 w 4364935"/>
            <a:gd name="connsiteY3" fmla="*/ 223631 h 240196"/>
            <a:gd name="connsiteX4" fmla="*/ 4356652 w 4364935"/>
            <a:gd name="connsiteY4" fmla="*/ 240196 h 240196"/>
            <a:gd name="connsiteX5" fmla="*/ 4364935 w 4364935"/>
            <a:gd name="connsiteY5" fmla="*/ 124240 h 240196"/>
            <a:gd name="connsiteX6" fmla="*/ 3114261 w 4364935"/>
            <a:gd name="connsiteY6" fmla="*/ 74544 h 240196"/>
            <a:gd name="connsiteX7" fmla="*/ 1739348 w 4364935"/>
            <a:gd name="connsiteY7" fmla="*/ 41414 h 240196"/>
            <a:gd name="connsiteX8" fmla="*/ 0 w 4364935"/>
            <a:gd name="connsiteY8" fmla="*/ 0 h 2401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64935" h="240196">
              <a:moveTo>
                <a:pt x="0" y="0"/>
              </a:moveTo>
              <a:lnTo>
                <a:pt x="0" y="165653"/>
              </a:lnTo>
              <a:lnTo>
                <a:pt x="1813891" y="207066"/>
              </a:lnTo>
              <a:lnTo>
                <a:pt x="2973457" y="223631"/>
              </a:lnTo>
              <a:lnTo>
                <a:pt x="4356652" y="240196"/>
              </a:lnTo>
              <a:lnTo>
                <a:pt x="4364935" y="124240"/>
              </a:lnTo>
              <a:lnTo>
                <a:pt x="3114261" y="74544"/>
              </a:lnTo>
              <a:lnTo>
                <a:pt x="1739348" y="41414"/>
              </a:lnTo>
              <a:lnTo>
                <a:pt x="0" y="0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9525">
          <a:solidFill>
            <a:sysClr val="windowText" lastClr="000000"/>
          </a:solidFill>
          <a:round/>
          <a:headEnd/>
          <a:tailEnd/>
        </a:ln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th-TH" sz="1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1175198</xdr:colOff>
      <xdr:row>13</xdr:row>
      <xdr:rowOff>268950</xdr:rowOff>
    </xdr:from>
    <xdr:to>
      <xdr:col>16</xdr:col>
      <xdr:colOff>296142</xdr:colOff>
      <xdr:row>14</xdr:row>
      <xdr:rowOff>40717</xdr:rowOff>
    </xdr:to>
    <xdr:sp macro="" textlink="">
      <xdr:nvSpPr>
        <xdr:cNvPr id="255" name="Line 222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SpPr>
          <a:spLocks noChangeShapeType="1"/>
        </xdr:cNvSpPr>
      </xdr:nvSpPr>
      <xdr:spPr bwMode="auto">
        <a:xfrm>
          <a:off x="8974492" y="4347891"/>
          <a:ext cx="4365297" cy="8553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1175198</xdr:colOff>
      <xdr:row>14</xdr:row>
      <xdr:rowOff>187343</xdr:rowOff>
    </xdr:from>
    <xdr:to>
      <xdr:col>16</xdr:col>
      <xdr:colOff>239597</xdr:colOff>
      <xdr:row>14</xdr:row>
      <xdr:rowOff>248437</xdr:rowOff>
    </xdr:to>
    <xdr:sp macro="" textlink="">
      <xdr:nvSpPr>
        <xdr:cNvPr id="256" name="Line 224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SpPr>
          <a:spLocks noChangeShapeType="1"/>
        </xdr:cNvSpPr>
      </xdr:nvSpPr>
      <xdr:spPr bwMode="auto">
        <a:xfrm>
          <a:off x="8974492" y="4580049"/>
          <a:ext cx="4308752" cy="610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112058</xdr:colOff>
      <xdr:row>14</xdr:row>
      <xdr:rowOff>181876</xdr:rowOff>
    </xdr:from>
    <xdr:to>
      <xdr:col>10</xdr:col>
      <xdr:colOff>1201378</xdr:colOff>
      <xdr:row>15</xdr:row>
      <xdr:rowOff>3706</xdr:rowOff>
    </xdr:to>
    <xdr:sp macro="" textlink="">
      <xdr:nvSpPr>
        <xdr:cNvPr id="257" name="Line 224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SpPr>
          <a:spLocks noChangeShapeType="1"/>
        </xdr:cNvSpPr>
      </xdr:nvSpPr>
      <xdr:spPr bwMode="auto">
        <a:xfrm flipV="1">
          <a:off x="4695264" y="4574582"/>
          <a:ext cx="4305408" cy="13559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120340</xdr:colOff>
      <xdr:row>13</xdr:row>
      <xdr:rowOff>260937</xdr:rowOff>
    </xdr:from>
    <xdr:to>
      <xdr:col>10</xdr:col>
      <xdr:colOff>1213961</xdr:colOff>
      <xdr:row>14</xdr:row>
      <xdr:rowOff>103898</xdr:rowOff>
    </xdr:to>
    <xdr:sp macro="" textlink="">
      <xdr:nvSpPr>
        <xdr:cNvPr id="258" name="Line 222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SpPr>
          <a:spLocks noChangeShapeType="1"/>
        </xdr:cNvSpPr>
      </xdr:nvSpPr>
      <xdr:spPr bwMode="auto">
        <a:xfrm flipV="1">
          <a:off x="4703546" y="4339878"/>
          <a:ext cx="4309709" cy="1567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21</xdr:row>
          <xdr:rowOff>28575</xdr:rowOff>
        </xdr:from>
        <xdr:to>
          <xdr:col>4</xdr:col>
          <xdr:colOff>476250</xdr:colOff>
          <xdr:row>21</xdr:row>
          <xdr:rowOff>257175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1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605118</xdr:colOff>
      <xdr:row>12</xdr:row>
      <xdr:rowOff>224118</xdr:rowOff>
    </xdr:from>
    <xdr:to>
      <xdr:col>17</xdr:col>
      <xdr:colOff>78442</xdr:colOff>
      <xdr:row>13</xdr:row>
      <xdr:rowOff>201706</xdr:rowOff>
    </xdr:to>
    <xdr:sp macro="" textlink="">
      <xdr:nvSpPr>
        <xdr:cNvPr id="2" name="Freeform 45575" descr="ลายเส้นบางทแยงมุมขึ้น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4392706" y="3989294"/>
          <a:ext cx="9267265" cy="291353"/>
        </a:xfrm>
        <a:custGeom>
          <a:avLst/>
          <a:gdLst>
            <a:gd name="T0" fmla="*/ 2147483647 w 815"/>
            <a:gd name="T1" fmla="*/ 2147483647 h 21"/>
            <a:gd name="T2" fmla="*/ 2147483647 w 815"/>
            <a:gd name="T3" fmla="*/ 0 h 21"/>
            <a:gd name="T4" fmla="*/ 2147483647 w 815"/>
            <a:gd name="T5" fmla="*/ 2147483647 h 21"/>
            <a:gd name="T6" fmla="*/ 2147483647 w 815"/>
            <a:gd name="T7" fmla="*/ 2147483647 h 21"/>
            <a:gd name="T8" fmla="*/ 2147483647 w 815"/>
            <a:gd name="T9" fmla="*/ 2147483647 h 21"/>
            <a:gd name="T10" fmla="*/ 0 w 815"/>
            <a:gd name="T11" fmla="*/ 2147483647 h 21"/>
            <a:gd name="T12" fmla="*/ 2147483647 w 815"/>
            <a:gd name="T13" fmla="*/ 2147483647 h 2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815"/>
            <a:gd name="T22" fmla="*/ 0 h 21"/>
            <a:gd name="T23" fmla="*/ 815 w 815"/>
            <a:gd name="T24" fmla="*/ 21 h 2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815" h="21">
              <a:moveTo>
                <a:pt x="30" y="8"/>
              </a:moveTo>
              <a:lnTo>
                <a:pt x="406" y="0"/>
              </a:lnTo>
              <a:lnTo>
                <a:pt x="786" y="8"/>
              </a:lnTo>
              <a:lnTo>
                <a:pt x="815" y="21"/>
              </a:lnTo>
              <a:lnTo>
                <a:pt x="406" y="13"/>
              </a:lnTo>
              <a:lnTo>
                <a:pt x="0" y="21"/>
              </a:lnTo>
              <a:lnTo>
                <a:pt x="30" y="8"/>
              </a:lnTo>
              <a:close/>
            </a:path>
          </a:pathLst>
        </a:custGeom>
        <a:pattFill prst="ltUpDiag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1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57668</xdr:colOff>
      <xdr:row>7</xdr:row>
      <xdr:rowOff>0</xdr:rowOff>
    </xdr:from>
    <xdr:to>
      <xdr:col>20</xdr:col>
      <xdr:colOff>142860</xdr:colOff>
      <xdr:row>17</xdr:row>
      <xdr:rowOff>267195</xdr:rowOff>
    </xdr:to>
    <xdr:grpSp>
      <xdr:nvGrpSpPr>
        <xdr:cNvPr id="3" name="กลุ่ม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pSpPr/>
      </xdr:nvGrpSpPr>
      <xdr:grpSpPr>
        <a:xfrm>
          <a:off x="1214275" y="2190750"/>
          <a:ext cx="15366014" cy="3396838"/>
          <a:chOff x="991086" y="28371263"/>
          <a:chExt cx="14628337" cy="2974721"/>
        </a:xfrm>
      </xdr:grpSpPr>
      <xdr:grpSp>
        <xdr:nvGrpSpPr>
          <xdr:cNvPr id="4" name="กลุ่ม 174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/>
        </xdr:nvGrpSpPr>
        <xdr:grpSpPr>
          <a:xfrm>
            <a:off x="991091" y="28371271"/>
            <a:ext cx="14628339" cy="2974720"/>
            <a:chOff x="990715" y="28342537"/>
            <a:chExt cx="14614263" cy="2970965"/>
          </a:xfrm>
        </xdr:grpSpPr>
        <xdr:grpSp>
          <xdr:nvGrpSpPr>
            <xdr:cNvPr id="7" name="กลุ่ม 233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990715" y="28342537"/>
              <a:ext cx="14614263" cy="2970965"/>
              <a:chOff x="-1571668" y="1785926"/>
              <a:chExt cx="13144500" cy="2647950"/>
            </a:xfrm>
          </xdr:grpSpPr>
          <xdr:grpSp>
            <xdr:nvGrpSpPr>
              <xdr:cNvPr id="10" name="Group 101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-1571668" y="2914646"/>
                <a:ext cx="13144500" cy="1381125"/>
                <a:chOff x="18" y="2484"/>
                <a:chExt cx="1380" cy="145"/>
              </a:xfrm>
            </xdr:grpSpPr>
            <xdr:sp macro="" textlink="">
              <xdr:nvSpPr>
                <xdr:cNvPr id="14" name="Text Box 102">
                  <a:extLst>
                    <a:ext uri="{FF2B5EF4-FFF2-40B4-BE49-F238E27FC236}">
                      <a16:creationId xmlns:a16="http://schemas.microsoft.com/office/drawing/2014/main" id="{00000000-0008-0000-1300-00000E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389" y="2493"/>
                  <a:ext cx="69" cy="23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</a:t>
                  </a:r>
                </a:p>
              </xdr:txBody>
            </xdr:sp>
            <xdr:sp macro="" textlink="">
              <xdr:nvSpPr>
                <xdr:cNvPr id="15" name="Line 128">
                  <a:extLst>
                    <a:ext uri="{FF2B5EF4-FFF2-40B4-BE49-F238E27FC236}">
                      <a16:creationId xmlns:a16="http://schemas.microsoft.com/office/drawing/2014/main" id="{00000000-0008-0000-1300-00000F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579" y="2507"/>
                  <a:ext cx="37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 type="stealth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" name="Line 209">
                  <a:extLst>
                    <a:ext uri="{FF2B5EF4-FFF2-40B4-BE49-F238E27FC236}">
                      <a16:creationId xmlns:a16="http://schemas.microsoft.com/office/drawing/2014/main" id="{00000000-0008-0000-1300-000010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819" y="2507"/>
                  <a:ext cx="54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 type="stealth" w="sm" len="sm"/>
                  <a:tailEnd type="none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7" name="Line 315">
                  <a:extLst>
                    <a:ext uri="{FF2B5EF4-FFF2-40B4-BE49-F238E27FC236}">
                      <a16:creationId xmlns:a16="http://schemas.microsoft.com/office/drawing/2014/main" id="{00000000-0008-0000-1300-000011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362" y="2514"/>
                  <a:ext cx="37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 type="stealth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8" name="Line 316">
                  <a:extLst>
                    <a:ext uri="{FF2B5EF4-FFF2-40B4-BE49-F238E27FC236}">
                      <a16:creationId xmlns:a16="http://schemas.microsoft.com/office/drawing/2014/main" id="{00000000-0008-0000-1300-000012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1037" y="2514"/>
                  <a:ext cx="37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 type="stealth" w="sm" len="sm"/>
                  <a:tailEnd type="none" w="sm" len="sm"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grpSp>
              <xdr:nvGrpSpPr>
                <xdr:cNvPr id="19" name="Group 107">
                  <a:extLst>
                    <a:ext uri="{FF2B5EF4-FFF2-40B4-BE49-F238E27FC236}">
                      <a16:creationId xmlns:a16="http://schemas.microsoft.com/office/drawing/2014/main" id="{00000000-0008-0000-1300-000013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3" y="2509"/>
                  <a:ext cx="1375" cy="120"/>
                  <a:chOff x="23" y="2509"/>
                  <a:chExt cx="1375" cy="120"/>
                </a:xfrm>
              </xdr:grpSpPr>
              <xdr:sp macro="" textlink="">
                <xdr:nvSpPr>
                  <xdr:cNvPr id="24" name="Line 120">
                    <a:extLst>
                      <a:ext uri="{FF2B5EF4-FFF2-40B4-BE49-F238E27FC236}">
                        <a16:creationId xmlns:a16="http://schemas.microsoft.com/office/drawing/2014/main" id="{00000000-0008-0000-1300-000018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178" y="2519"/>
                    <a:ext cx="156" cy="7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US"/>
                  </a:p>
                </xdr:txBody>
              </xdr:sp>
              <xdr:grpSp>
                <xdr:nvGrpSpPr>
                  <xdr:cNvPr id="25" name="Group 109">
                    <a:extLst>
                      <a:ext uri="{FF2B5EF4-FFF2-40B4-BE49-F238E27FC236}">
                        <a16:creationId xmlns:a16="http://schemas.microsoft.com/office/drawing/2014/main" id="{00000000-0008-0000-1300-000019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23" y="2509"/>
                    <a:ext cx="1375" cy="120"/>
                    <a:chOff x="8" y="2431"/>
                    <a:chExt cx="1355" cy="120"/>
                  </a:xfrm>
                </xdr:grpSpPr>
                <xdr:grpSp>
                  <xdr:nvGrpSpPr>
                    <xdr:cNvPr id="26" name="Group 110">
                      <a:extLst>
                        <a:ext uri="{FF2B5EF4-FFF2-40B4-BE49-F238E27FC236}">
                          <a16:creationId xmlns:a16="http://schemas.microsoft.com/office/drawing/2014/main" id="{00000000-0008-0000-1300-00001A00000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8" y="2462"/>
                      <a:ext cx="1355" cy="89"/>
                      <a:chOff x="8" y="2462"/>
                      <a:chExt cx="1355" cy="89"/>
                    </a:xfrm>
                  </xdr:grpSpPr>
                  <xdr:grpSp>
                    <xdr:nvGrpSpPr>
                      <xdr:cNvPr id="33" name="Group 111">
                        <a:extLst>
                          <a:ext uri="{FF2B5EF4-FFF2-40B4-BE49-F238E27FC236}">
                            <a16:creationId xmlns:a16="http://schemas.microsoft.com/office/drawing/2014/main" id="{00000000-0008-0000-1300-000021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120" y="2521"/>
                        <a:ext cx="159" cy="30"/>
                        <a:chOff x="120" y="2521"/>
                        <a:chExt cx="159" cy="30"/>
                      </a:xfrm>
                    </xdr:grpSpPr>
                    <xdr:sp macro="" textlink="">
                      <xdr:nvSpPr>
                        <xdr:cNvPr id="87" name="Line 129">
                          <a:extLst>
                            <a:ext uri="{FF2B5EF4-FFF2-40B4-BE49-F238E27FC236}">
                              <a16:creationId xmlns:a16="http://schemas.microsoft.com/office/drawing/2014/main" id="{00000000-0008-0000-1300-000057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0" y="2521"/>
                          <a:ext cx="27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8" name="Line 130">
                          <a:extLst>
                            <a:ext uri="{FF2B5EF4-FFF2-40B4-BE49-F238E27FC236}">
                              <a16:creationId xmlns:a16="http://schemas.microsoft.com/office/drawing/2014/main" id="{00000000-0008-0000-1300-000058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34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9" name="Line 131">
                          <a:extLst>
                            <a:ext uri="{FF2B5EF4-FFF2-40B4-BE49-F238E27FC236}">
                              <a16:creationId xmlns:a16="http://schemas.microsoft.com/office/drawing/2014/main" id="{00000000-0008-0000-1300-000059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42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0" name="Line 132">
                          <a:extLst>
                            <a:ext uri="{FF2B5EF4-FFF2-40B4-BE49-F238E27FC236}">
                              <a16:creationId xmlns:a16="http://schemas.microsoft.com/office/drawing/2014/main" id="{00000000-0008-0000-1300-00005A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50" y="2522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1" name="Line 133">
                          <a:extLst>
                            <a:ext uri="{FF2B5EF4-FFF2-40B4-BE49-F238E27FC236}">
                              <a16:creationId xmlns:a16="http://schemas.microsoft.com/office/drawing/2014/main" id="{00000000-0008-0000-1300-00005B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171" y="2523"/>
                          <a:ext cx="19" cy="2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2" name="Line 134">
                          <a:extLst>
                            <a:ext uri="{FF2B5EF4-FFF2-40B4-BE49-F238E27FC236}">
                              <a16:creationId xmlns:a16="http://schemas.microsoft.com/office/drawing/2014/main" id="{00000000-0008-0000-1300-00005C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166" y="2526"/>
                          <a:ext cx="17" cy="2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3" name="Line 135">
                          <a:extLst>
                            <a:ext uri="{FF2B5EF4-FFF2-40B4-BE49-F238E27FC236}">
                              <a16:creationId xmlns:a16="http://schemas.microsoft.com/office/drawing/2014/main" id="{00000000-0008-0000-1300-00005D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62" y="2533"/>
                          <a:ext cx="11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4" name="Line 136">
                          <a:extLst>
                            <a:ext uri="{FF2B5EF4-FFF2-40B4-BE49-F238E27FC236}">
                              <a16:creationId xmlns:a16="http://schemas.microsoft.com/office/drawing/2014/main" id="{00000000-0008-0000-1300-00005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57" y="2540"/>
                          <a:ext cx="7" cy="1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5" name="Line 137">
                          <a:extLst>
                            <a:ext uri="{FF2B5EF4-FFF2-40B4-BE49-F238E27FC236}">
                              <a16:creationId xmlns:a16="http://schemas.microsoft.com/office/drawing/2014/main" id="{00000000-0008-0000-1300-00005F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91" y="2521"/>
                          <a:ext cx="27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6" name="Line 138">
                          <a:extLst>
                            <a:ext uri="{FF2B5EF4-FFF2-40B4-BE49-F238E27FC236}">
                              <a16:creationId xmlns:a16="http://schemas.microsoft.com/office/drawing/2014/main" id="{00000000-0008-0000-1300-000060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85" y="2521"/>
                          <a:ext cx="23" cy="22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7" name="Line 139">
                          <a:extLst>
                            <a:ext uri="{FF2B5EF4-FFF2-40B4-BE49-F238E27FC236}">
                              <a16:creationId xmlns:a16="http://schemas.microsoft.com/office/drawing/2014/main" id="{00000000-0008-0000-1300-000061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80" y="2521"/>
                          <a:ext cx="12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8" name="Line 140">
                          <a:extLst>
                            <a:ext uri="{FF2B5EF4-FFF2-40B4-BE49-F238E27FC236}">
                              <a16:creationId xmlns:a16="http://schemas.microsoft.com/office/drawing/2014/main" id="{00000000-0008-0000-1300-000062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77" y="2522"/>
                          <a:ext cx="8" cy="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99" name="Line 141">
                          <a:extLst>
                            <a:ext uri="{FF2B5EF4-FFF2-40B4-BE49-F238E27FC236}">
                              <a16:creationId xmlns:a16="http://schemas.microsoft.com/office/drawing/2014/main" id="{00000000-0008-0000-1300-000063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216" y="2521"/>
                          <a:ext cx="21" cy="2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0" name="Line 142">
                          <a:extLst>
                            <a:ext uri="{FF2B5EF4-FFF2-40B4-BE49-F238E27FC236}">
                              <a16:creationId xmlns:a16="http://schemas.microsoft.com/office/drawing/2014/main" id="{00000000-0008-0000-1300-000064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13" y="2529"/>
                          <a:ext cx="15" cy="2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1" name="Line 143">
                          <a:extLst>
                            <a:ext uri="{FF2B5EF4-FFF2-40B4-BE49-F238E27FC236}">
                              <a16:creationId xmlns:a16="http://schemas.microsoft.com/office/drawing/2014/main" id="{00000000-0008-0000-1300-000065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08" y="2533"/>
                          <a:ext cx="12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2" name="Line 144">
                          <a:extLst>
                            <a:ext uri="{FF2B5EF4-FFF2-40B4-BE49-F238E27FC236}">
                              <a16:creationId xmlns:a16="http://schemas.microsoft.com/office/drawing/2014/main" id="{00000000-0008-0000-1300-000066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05" y="2539"/>
                          <a:ext cx="8" cy="12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3" name="Line 145">
                          <a:extLst>
                            <a:ext uri="{FF2B5EF4-FFF2-40B4-BE49-F238E27FC236}">
                              <a16:creationId xmlns:a16="http://schemas.microsoft.com/office/drawing/2014/main" id="{00000000-0008-0000-1300-000067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234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4" name="Line 146">
                          <a:extLst>
                            <a:ext uri="{FF2B5EF4-FFF2-40B4-BE49-F238E27FC236}">
                              <a16:creationId xmlns:a16="http://schemas.microsoft.com/office/drawing/2014/main" id="{00000000-0008-0000-1300-000068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231" y="2522"/>
                          <a:ext cx="15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5" name="Line 147">
                          <a:extLst>
                            <a:ext uri="{FF2B5EF4-FFF2-40B4-BE49-F238E27FC236}">
                              <a16:creationId xmlns:a16="http://schemas.microsoft.com/office/drawing/2014/main" id="{00000000-0008-0000-1300-000069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226" y="2521"/>
                          <a:ext cx="13" cy="1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6" name="Line 148">
                          <a:extLst>
                            <a:ext uri="{FF2B5EF4-FFF2-40B4-BE49-F238E27FC236}">
                              <a16:creationId xmlns:a16="http://schemas.microsoft.com/office/drawing/2014/main" id="{00000000-0008-0000-1300-00006A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224" y="2521"/>
                          <a:ext cx="8" cy="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7" name="Line 149">
                          <a:extLst>
                            <a:ext uri="{FF2B5EF4-FFF2-40B4-BE49-F238E27FC236}">
                              <a16:creationId xmlns:a16="http://schemas.microsoft.com/office/drawing/2014/main" id="{00000000-0008-0000-1300-00006B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254" y="2521"/>
                          <a:ext cx="25" cy="2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8" name="Line 150">
                          <a:extLst>
                            <a:ext uri="{FF2B5EF4-FFF2-40B4-BE49-F238E27FC236}">
                              <a16:creationId xmlns:a16="http://schemas.microsoft.com/office/drawing/2014/main" id="{00000000-0008-0000-1300-00006C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50" y="2529"/>
                          <a:ext cx="20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09" name="Line 151">
                          <a:extLst>
                            <a:ext uri="{FF2B5EF4-FFF2-40B4-BE49-F238E27FC236}">
                              <a16:creationId xmlns:a16="http://schemas.microsoft.com/office/drawing/2014/main" id="{00000000-0008-0000-1300-00006D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45" y="2534"/>
                          <a:ext cx="10" cy="1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110" name="Line 152">
                          <a:extLst>
                            <a:ext uri="{FF2B5EF4-FFF2-40B4-BE49-F238E27FC236}">
                              <a16:creationId xmlns:a16="http://schemas.microsoft.com/office/drawing/2014/main" id="{00000000-0008-0000-1300-00006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241" y="2540"/>
                          <a:ext cx="5" cy="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</xdr:grpSp>
                  <xdr:grpSp>
                    <xdr:nvGrpSpPr>
                      <xdr:cNvPr id="34" name="Group 136">
                        <a:extLst>
                          <a:ext uri="{FF2B5EF4-FFF2-40B4-BE49-F238E27FC236}">
                            <a16:creationId xmlns:a16="http://schemas.microsoft.com/office/drawing/2014/main" id="{00000000-0008-0000-1300-000022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610" y="2521"/>
                        <a:ext cx="156" cy="30"/>
                        <a:chOff x="610" y="2521"/>
                        <a:chExt cx="156" cy="30"/>
                      </a:xfrm>
                    </xdr:grpSpPr>
                    <xdr:sp macro="" textlink="">
                      <xdr:nvSpPr>
                        <xdr:cNvPr id="64" name="Line 153">
                          <a:extLst>
                            <a:ext uri="{FF2B5EF4-FFF2-40B4-BE49-F238E27FC236}">
                              <a16:creationId xmlns:a16="http://schemas.microsoft.com/office/drawing/2014/main" id="{00000000-0008-0000-1300-000040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10" y="2521"/>
                          <a:ext cx="27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5" name="Line 154">
                          <a:extLst>
                            <a:ext uri="{FF2B5EF4-FFF2-40B4-BE49-F238E27FC236}">
                              <a16:creationId xmlns:a16="http://schemas.microsoft.com/office/drawing/2014/main" id="{00000000-0008-0000-1300-000041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24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6" name="Line 155">
                          <a:extLst>
                            <a:ext uri="{FF2B5EF4-FFF2-40B4-BE49-F238E27FC236}">
                              <a16:creationId xmlns:a16="http://schemas.microsoft.com/office/drawing/2014/main" id="{00000000-0008-0000-1300-000042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32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7" name="Line 156">
                          <a:extLst>
                            <a:ext uri="{FF2B5EF4-FFF2-40B4-BE49-F238E27FC236}">
                              <a16:creationId xmlns:a16="http://schemas.microsoft.com/office/drawing/2014/main" id="{00000000-0008-0000-1300-000043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40" y="2522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8" name="Line 157">
                          <a:extLst>
                            <a:ext uri="{FF2B5EF4-FFF2-40B4-BE49-F238E27FC236}">
                              <a16:creationId xmlns:a16="http://schemas.microsoft.com/office/drawing/2014/main" id="{00000000-0008-0000-1300-000044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661" y="2523"/>
                          <a:ext cx="19" cy="2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9" name="Line 158">
                          <a:extLst>
                            <a:ext uri="{FF2B5EF4-FFF2-40B4-BE49-F238E27FC236}">
                              <a16:creationId xmlns:a16="http://schemas.microsoft.com/office/drawing/2014/main" id="{00000000-0008-0000-1300-000045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656" y="2526"/>
                          <a:ext cx="17" cy="2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0" name="Line 159">
                          <a:extLst>
                            <a:ext uri="{FF2B5EF4-FFF2-40B4-BE49-F238E27FC236}">
                              <a16:creationId xmlns:a16="http://schemas.microsoft.com/office/drawing/2014/main" id="{00000000-0008-0000-1300-000046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652" y="2533"/>
                          <a:ext cx="11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1" name="Line 160">
                          <a:extLst>
                            <a:ext uri="{FF2B5EF4-FFF2-40B4-BE49-F238E27FC236}">
                              <a16:creationId xmlns:a16="http://schemas.microsoft.com/office/drawing/2014/main" id="{00000000-0008-0000-1300-000047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647" y="2540"/>
                          <a:ext cx="7" cy="1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2" name="Line 161">
                          <a:extLst>
                            <a:ext uri="{FF2B5EF4-FFF2-40B4-BE49-F238E27FC236}">
                              <a16:creationId xmlns:a16="http://schemas.microsoft.com/office/drawing/2014/main" id="{00000000-0008-0000-1300-000048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81" y="2521"/>
                          <a:ext cx="27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3" name="Line 162">
                          <a:extLst>
                            <a:ext uri="{FF2B5EF4-FFF2-40B4-BE49-F238E27FC236}">
                              <a16:creationId xmlns:a16="http://schemas.microsoft.com/office/drawing/2014/main" id="{00000000-0008-0000-1300-000049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75" y="2521"/>
                          <a:ext cx="23" cy="22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4" name="Line 163">
                          <a:extLst>
                            <a:ext uri="{FF2B5EF4-FFF2-40B4-BE49-F238E27FC236}">
                              <a16:creationId xmlns:a16="http://schemas.microsoft.com/office/drawing/2014/main" id="{00000000-0008-0000-1300-00004A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70" y="2521"/>
                          <a:ext cx="12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5" name="Line 165">
                          <a:extLst>
                            <a:ext uri="{FF2B5EF4-FFF2-40B4-BE49-F238E27FC236}">
                              <a16:creationId xmlns:a16="http://schemas.microsoft.com/office/drawing/2014/main" id="{00000000-0008-0000-1300-00004B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706" y="2521"/>
                          <a:ext cx="21" cy="2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6" name="Line 166">
                          <a:extLst>
                            <a:ext uri="{FF2B5EF4-FFF2-40B4-BE49-F238E27FC236}">
                              <a16:creationId xmlns:a16="http://schemas.microsoft.com/office/drawing/2014/main" id="{00000000-0008-0000-1300-00004C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703" y="2529"/>
                          <a:ext cx="15" cy="2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7" name="Line 167">
                          <a:extLst>
                            <a:ext uri="{FF2B5EF4-FFF2-40B4-BE49-F238E27FC236}">
                              <a16:creationId xmlns:a16="http://schemas.microsoft.com/office/drawing/2014/main" id="{00000000-0008-0000-1300-00004D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628" y="2533"/>
                          <a:ext cx="12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8" name="Line 168">
                          <a:extLst>
                            <a:ext uri="{FF2B5EF4-FFF2-40B4-BE49-F238E27FC236}">
                              <a16:creationId xmlns:a16="http://schemas.microsoft.com/office/drawing/2014/main" id="{00000000-0008-0000-1300-00004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625" y="2539"/>
                          <a:ext cx="8" cy="12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79" name="Line 169">
                          <a:extLst>
                            <a:ext uri="{FF2B5EF4-FFF2-40B4-BE49-F238E27FC236}">
                              <a16:creationId xmlns:a16="http://schemas.microsoft.com/office/drawing/2014/main" id="{00000000-0008-0000-1300-00004F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654" y="2522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0" name="Line 170">
                          <a:extLst>
                            <a:ext uri="{FF2B5EF4-FFF2-40B4-BE49-F238E27FC236}">
                              <a16:creationId xmlns:a16="http://schemas.microsoft.com/office/drawing/2014/main" id="{00000000-0008-0000-1300-000050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721" y="2522"/>
                          <a:ext cx="15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1" name="Line 171">
                          <a:extLst>
                            <a:ext uri="{FF2B5EF4-FFF2-40B4-BE49-F238E27FC236}">
                              <a16:creationId xmlns:a16="http://schemas.microsoft.com/office/drawing/2014/main" id="{00000000-0008-0000-1300-000051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716" y="2521"/>
                          <a:ext cx="13" cy="1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2" name="Line 172">
                          <a:extLst>
                            <a:ext uri="{FF2B5EF4-FFF2-40B4-BE49-F238E27FC236}">
                              <a16:creationId xmlns:a16="http://schemas.microsoft.com/office/drawing/2014/main" id="{00000000-0008-0000-1300-000052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714" y="2521"/>
                          <a:ext cx="8" cy="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3" name="Line 173">
                          <a:extLst>
                            <a:ext uri="{FF2B5EF4-FFF2-40B4-BE49-F238E27FC236}">
                              <a16:creationId xmlns:a16="http://schemas.microsoft.com/office/drawing/2014/main" id="{00000000-0008-0000-1300-000053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741" y="2522"/>
                          <a:ext cx="25" cy="2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4" name="Line 174">
                          <a:extLst>
                            <a:ext uri="{FF2B5EF4-FFF2-40B4-BE49-F238E27FC236}">
                              <a16:creationId xmlns:a16="http://schemas.microsoft.com/office/drawing/2014/main" id="{00000000-0008-0000-1300-000054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736" y="2526"/>
                          <a:ext cx="20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5" name="Line 175">
                          <a:extLst>
                            <a:ext uri="{FF2B5EF4-FFF2-40B4-BE49-F238E27FC236}">
                              <a16:creationId xmlns:a16="http://schemas.microsoft.com/office/drawing/2014/main" id="{00000000-0008-0000-1300-000055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729" y="2531"/>
                          <a:ext cx="10" cy="1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86" name="Line 176">
                          <a:extLst>
                            <a:ext uri="{FF2B5EF4-FFF2-40B4-BE49-F238E27FC236}">
                              <a16:creationId xmlns:a16="http://schemas.microsoft.com/office/drawing/2014/main" id="{00000000-0008-0000-1300-000056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727" y="2537"/>
                          <a:ext cx="5" cy="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</xdr:grpSp>
                  <xdr:grpSp>
                    <xdr:nvGrpSpPr>
                      <xdr:cNvPr id="35" name="Group 160">
                        <a:extLst>
                          <a:ext uri="{FF2B5EF4-FFF2-40B4-BE49-F238E27FC236}">
                            <a16:creationId xmlns:a16="http://schemas.microsoft.com/office/drawing/2014/main" id="{00000000-0008-0000-1300-000023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1222" y="2521"/>
                        <a:ext cx="113" cy="30"/>
                        <a:chOff x="1222" y="2521"/>
                        <a:chExt cx="113" cy="30"/>
                      </a:xfrm>
                    </xdr:grpSpPr>
                    <xdr:sp macro="" textlink="">
                      <xdr:nvSpPr>
                        <xdr:cNvPr id="44" name="Line 177">
                          <a:extLst>
                            <a:ext uri="{FF2B5EF4-FFF2-40B4-BE49-F238E27FC236}">
                              <a16:creationId xmlns:a16="http://schemas.microsoft.com/office/drawing/2014/main" id="{00000000-0008-0000-1300-00002C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22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45" name="Line 178">
                          <a:extLst>
                            <a:ext uri="{FF2B5EF4-FFF2-40B4-BE49-F238E27FC236}">
                              <a16:creationId xmlns:a16="http://schemas.microsoft.com/office/drawing/2014/main" id="{00000000-0008-0000-1300-00002D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30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46" name="Line 179">
                          <a:extLst>
                            <a:ext uri="{FF2B5EF4-FFF2-40B4-BE49-F238E27FC236}">
                              <a16:creationId xmlns:a16="http://schemas.microsoft.com/office/drawing/2014/main" id="{00000000-0008-0000-1300-00002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38" y="2522"/>
                          <a:ext cx="18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47" name="Line 182">
                          <a:extLst>
                            <a:ext uri="{FF2B5EF4-FFF2-40B4-BE49-F238E27FC236}">
                              <a16:creationId xmlns:a16="http://schemas.microsoft.com/office/drawing/2014/main" id="{00000000-0008-0000-1300-00002F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50" y="2533"/>
                          <a:ext cx="6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48" name="Line 183">
                          <a:extLst>
                            <a:ext uri="{FF2B5EF4-FFF2-40B4-BE49-F238E27FC236}">
                              <a16:creationId xmlns:a16="http://schemas.microsoft.com/office/drawing/2014/main" id="{00000000-0008-0000-1300-000030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45" y="2540"/>
                          <a:ext cx="7" cy="1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49" name="Line 184">
                          <a:extLst>
                            <a:ext uri="{FF2B5EF4-FFF2-40B4-BE49-F238E27FC236}">
                              <a16:creationId xmlns:a16="http://schemas.microsoft.com/office/drawing/2014/main" id="{00000000-0008-0000-1300-000031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56" y="2521"/>
                          <a:ext cx="18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0" name="Line 186">
                          <a:extLst>
                            <a:ext uri="{FF2B5EF4-FFF2-40B4-BE49-F238E27FC236}">
                              <a16:creationId xmlns:a16="http://schemas.microsoft.com/office/drawing/2014/main" id="{00000000-0008-0000-1300-000032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56" y="2521"/>
                          <a:ext cx="9" cy="1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1" name="Line 187">
                          <a:extLst>
                            <a:ext uri="{FF2B5EF4-FFF2-40B4-BE49-F238E27FC236}">
                              <a16:creationId xmlns:a16="http://schemas.microsoft.com/office/drawing/2014/main" id="{00000000-0008-0000-1300-000033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54" y="2526"/>
                          <a:ext cx="8" cy="1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2" name="Line 188">
                          <a:extLst>
                            <a:ext uri="{FF2B5EF4-FFF2-40B4-BE49-F238E27FC236}">
                              <a16:creationId xmlns:a16="http://schemas.microsoft.com/office/drawing/2014/main" id="{00000000-0008-0000-1300-000034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1272" y="2521"/>
                          <a:ext cx="21" cy="2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3" name="Line 189">
                          <a:extLst>
                            <a:ext uri="{FF2B5EF4-FFF2-40B4-BE49-F238E27FC236}">
                              <a16:creationId xmlns:a16="http://schemas.microsoft.com/office/drawing/2014/main" id="{00000000-0008-0000-1300-000035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69" y="2529"/>
                          <a:ext cx="15" cy="20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4" name="Line 190">
                          <a:extLst>
                            <a:ext uri="{FF2B5EF4-FFF2-40B4-BE49-F238E27FC236}">
                              <a16:creationId xmlns:a16="http://schemas.microsoft.com/office/drawing/2014/main" id="{00000000-0008-0000-1300-000036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64" y="2533"/>
                          <a:ext cx="12" cy="17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5" name="Line 191">
                          <a:extLst>
                            <a:ext uri="{FF2B5EF4-FFF2-40B4-BE49-F238E27FC236}">
                              <a16:creationId xmlns:a16="http://schemas.microsoft.com/office/drawing/2014/main" id="{00000000-0008-0000-1300-000037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61" y="2539"/>
                          <a:ext cx="8" cy="12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6" name="Line 192">
                          <a:extLst>
                            <a:ext uri="{FF2B5EF4-FFF2-40B4-BE49-F238E27FC236}">
                              <a16:creationId xmlns:a16="http://schemas.microsoft.com/office/drawing/2014/main" id="{00000000-0008-0000-1300-000038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90" y="2521"/>
                          <a:ext cx="21" cy="2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7" name="Line 193">
                          <a:extLst>
                            <a:ext uri="{FF2B5EF4-FFF2-40B4-BE49-F238E27FC236}">
                              <a16:creationId xmlns:a16="http://schemas.microsoft.com/office/drawing/2014/main" id="{00000000-0008-0000-1300-000039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87" y="2522"/>
                          <a:ext cx="15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8" name="Line 194">
                          <a:extLst>
                            <a:ext uri="{FF2B5EF4-FFF2-40B4-BE49-F238E27FC236}">
                              <a16:creationId xmlns:a16="http://schemas.microsoft.com/office/drawing/2014/main" id="{00000000-0008-0000-1300-00003A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82" y="2521"/>
                          <a:ext cx="13" cy="14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59" name="Line 195">
                          <a:extLst>
                            <a:ext uri="{FF2B5EF4-FFF2-40B4-BE49-F238E27FC236}">
                              <a16:creationId xmlns:a16="http://schemas.microsoft.com/office/drawing/2014/main" id="{00000000-0008-0000-1300-00003B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V="1">
                          <a:off x="1280" y="2521"/>
                          <a:ext cx="8" cy="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0" name="Line 196">
                          <a:extLst>
                            <a:ext uri="{FF2B5EF4-FFF2-40B4-BE49-F238E27FC236}">
                              <a16:creationId xmlns:a16="http://schemas.microsoft.com/office/drawing/2014/main" id="{00000000-0008-0000-1300-00003C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1310" y="2521"/>
                          <a:ext cx="25" cy="2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1" name="Line 197">
                          <a:extLst>
                            <a:ext uri="{FF2B5EF4-FFF2-40B4-BE49-F238E27FC236}">
                              <a16:creationId xmlns:a16="http://schemas.microsoft.com/office/drawing/2014/main" id="{00000000-0008-0000-1300-00003D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306" y="2529"/>
                          <a:ext cx="20" cy="18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2" name="Line 198">
                          <a:extLst>
                            <a:ext uri="{FF2B5EF4-FFF2-40B4-BE49-F238E27FC236}">
                              <a16:creationId xmlns:a16="http://schemas.microsoft.com/office/drawing/2014/main" id="{00000000-0008-0000-1300-00003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301" y="2534"/>
                          <a:ext cx="10" cy="15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63" name="Line 199">
                          <a:extLst>
                            <a:ext uri="{FF2B5EF4-FFF2-40B4-BE49-F238E27FC236}">
                              <a16:creationId xmlns:a16="http://schemas.microsoft.com/office/drawing/2014/main" id="{00000000-0008-0000-1300-00003F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 flipH="1" flipV="1">
                          <a:off x="1297" y="2540"/>
                          <a:ext cx="5" cy="6"/>
                        </a:xfrm>
                        <a:prstGeom prst="line">
                          <a:avLst/>
                        </a:prstGeom>
                        <a:noFill/>
                        <a:ln w="635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</xdr:grpSp>
                  <xdr:grpSp>
                    <xdr:nvGrpSpPr>
                      <xdr:cNvPr id="36" name="Group 181">
                        <a:extLst>
                          <a:ext uri="{FF2B5EF4-FFF2-40B4-BE49-F238E27FC236}">
                            <a16:creationId xmlns:a16="http://schemas.microsoft.com/office/drawing/2014/main" id="{00000000-0008-0000-1300-000024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8" y="2462"/>
                        <a:ext cx="1355" cy="71"/>
                        <a:chOff x="8" y="2462"/>
                        <a:chExt cx="1355" cy="71"/>
                      </a:xfrm>
                    </xdr:grpSpPr>
                    <xdr:sp macro="" textlink="">
                      <xdr:nvSpPr>
                        <xdr:cNvPr id="37" name="Freeform 218">
                          <a:extLst>
                            <a:ext uri="{FF2B5EF4-FFF2-40B4-BE49-F238E27FC236}">
                              <a16:creationId xmlns:a16="http://schemas.microsoft.com/office/drawing/2014/main" id="{00000000-0008-0000-1300-000025000000}"/>
                            </a:ext>
                          </a:extLst>
                        </xdr:cNvPr>
                        <xdr:cNvSpPr>
                          <a:spLocks/>
                        </xdr:cNvSpPr>
                      </xdr:nvSpPr>
                      <xdr:spPr bwMode="auto">
                        <a:xfrm>
                          <a:off x="101" y="2508"/>
                          <a:ext cx="13" cy="10"/>
                        </a:xfrm>
                        <a:custGeom>
                          <a:avLst/>
                          <a:gdLst>
                            <a:gd name="T0" fmla="*/ 0 w 13"/>
                            <a:gd name="T1" fmla="*/ 0 h 10"/>
                            <a:gd name="T2" fmla="*/ 2147483647 w 13"/>
                            <a:gd name="T3" fmla="*/ 0 h 10"/>
                            <a:gd name="T4" fmla="*/ 2147483647 w 13"/>
                            <a:gd name="T5" fmla="*/ 2147483647 h 10"/>
                            <a:gd name="T6" fmla="*/ 0 w 13"/>
                            <a:gd name="T7" fmla="*/ 0 h 10"/>
                            <a:gd name="T8" fmla="*/ 0 60000 65536"/>
                            <a:gd name="T9" fmla="*/ 0 60000 65536"/>
                            <a:gd name="T10" fmla="*/ 0 60000 65536"/>
                            <a:gd name="T11" fmla="*/ 0 60000 65536"/>
                            <a:gd name="T12" fmla="*/ 0 w 13"/>
                            <a:gd name="T13" fmla="*/ 0 h 10"/>
                            <a:gd name="T14" fmla="*/ 13 w 13"/>
                            <a:gd name="T15" fmla="*/ 10 h 10"/>
                          </a:gdLst>
                          <a:ahLst/>
                          <a:cxnLst>
                            <a:cxn ang="T8">
                              <a:pos x="T0" y="T1"/>
                            </a:cxn>
                            <a:cxn ang="T9">
                              <a:pos x="T2" y="T3"/>
                            </a:cxn>
                            <a:cxn ang="T10">
                              <a:pos x="T4" y="T5"/>
                            </a:cxn>
                            <a:cxn ang="T11">
                              <a:pos x="T6" y="T7"/>
                            </a:cxn>
                          </a:cxnLst>
                          <a:rect l="T12" t="T13" r="T14" b="T15"/>
                          <a:pathLst>
                            <a:path w="13" h="10">
                              <a:moveTo>
                                <a:pt x="0" y="0"/>
                              </a:moveTo>
                              <a:lnTo>
                                <a:pt x="13" y="0"/>
                              </a:lnTo>
                              <a:lnTo>
                                <a:pt x="6" y="10"/>
                              </a:lnTo>
                              <a:lnTo>
                                <a:pt x="0" y="0"/>
                              </a:lnTo>
                              <a:close/>
                            </a:path>
                          </a:pathLst>
                        </a:custGeom>
                        <a:solidFill>
                          <a:srgbClr val="000000"/>
                        </a:solidFill>
                        <a:ln w="12700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l" defTabSz="914400" rtl="0" eaLnBrk="1" fontAlgn="base" latinLnBrk="0" hangingPunct="1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en-US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itchFamily="34" charset="0"/>
                            <a:cs typeface="Arial" pitchFamily="34" charset="0"/>
                          </a:endParaRPr>
                        </a:p>
                      </xdr:txBody>
                    </xdr:sp>
                    <xdr:grpSp>
                      <xdr:nvGrpSpPr>
                        <xdr:cNvPr id="38" name="Group 183">
                          <a:extLst>
                            <a:ext uri="{FF2B5EF4-FFF2-40B4-BE49-F238E27FC236}">
                              <a16:creationId xmlns:a16="http://schemas.microsoft.com/office/drawing/2014/main" id="{00000000-0008-0000-1300-000026000000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8" y="2462"/>
                          <a:ext cx="1355" cy="71"/>
                          <a:chOff x="8" y="2462"/>
                          <a:chExt cx="1355" cy="71"/>
                        </a:xfrm>
                      </xdr:grpSpPr>
                      <xdr:sp macro="" textlink="">
                        <xdr:nvSpPr>
                          <xdr:cNvPr id="39" name="Freeform 116">
                            <a:extLst>
                              <a:ext uri="{FF2B5EF4-FFF2-40B4-BE49-F238E27FC236}">
                                <a16:creationId xmlns:a16="http://schemas.microsoft.com/office/drawing/2014/main" id="{00000000-0008-0000-1300-000027000000}"/>
                              </a:ext>
                            </a:extLst>
                          </xdr:cNvPr>
                          <xdr:cNvSpPr>
                            <a:spLocks/>
                          </xdr:cNvSpPr>
                        </xdr:nvSpPr>
                        <xdr:spPr bwMode="auto">
                          <a:xfrm>
                            <a:off x="8" y="2520"/>
                            <a:ext cx="501" cy="7"/>
                          </a:xfrm>
                          <a:custGeom>
                            <a:avLst/>
                            <a:gdLst>
                              <a:gd name="T0" fmla="*/ 0 w 343"/>
                              <a:gd name="T1" fmla="*/ 2147483647 h 8"/>
                              <a:gd name="T2" fmla="*/ 2147483647 w 343"/>
                              <a:gd name="T3" fmla="*/ 2147483647 h 8"/>
                              <a:gd name="T4" fmla="*/ 2147483647 w 343"/>
                              <a:gd name="T5" fmla="*/ 2147483647 h 8"/>
                              <a:gd name="T6" fmla="*/ 2147483647 w 343"/>
                              <a:gd name="T7" fmla="*/ 2147483647 h 8"/>
                              <a:gd name="T8" fmla="*/ 2147483647 w 343"/>
                              <a:gd name="T9" fmla="*/ 2147483647 h 8"/>
                              <a:gd name="T10" fmla="*/ 2147483647 w 343"/>
                              <a:gd name="T11" fmla="*/ 2147483647 h 8"/>
                              <a:gd name="T12" fmla="*/ 2147483647 w 343"/>
                              <a:gd name="T13" fmla="*/ 2147483647 h 8"/>
                              <a:gd name="T14" fmla="*/ 2147483647 w 343"/>
                              <a:gd name="T15" fmla="*/ 2147483647 h 8"/>
                              <a:gd name="T16" fmla="*/ 2147483647 w 343"/>
                              <a:gd name="T17" fmla="*/ 2147483647 h 8"/>
                              <a:gd name="T18" fmla="*/ 2147483647 w 343"/>
                              <a:gd name="T19" fmla="*/ 2147483647 h 8"/>
                              <a:gd name="T20" fmla="*/ 2147483647 w 343"/>
                              <a:gd name="T21" fmla="*/ 2147483647 h 8"/>
                              <a:gd name="T22" fmla="*/ 0 60000 65536"/>
                              <a:gd name="T23" fmla="*/ 0 60000 65536"/>
                              <a:gd name="T24" fmla="*/ 0 60000 65536"/>
                              <a:gd name="T25" fmla="*/ 0 60000 65536"/>
                              <a:gd name="T26" fmla="*/ 0 60000 65536"/>
                              <a:gd name="T27" fmla="*/ 0 60000 65536"/>
                              <a:gd name="T28" fmla="*/ 0 60000 65536"/>
                              <a:gd name="T29" fmla="*/ 0 60000 65536"/>
                              <a:gd name="T30" fmla="*/ 0 60000 65536"/>
                              <a:gd name="T31" fmla="*/ 0 60000 65536"/>
                              <a:gd name="T32" fmla="*/ 0 60000 65536"/>
                              <a:gd name="T33" fmla="*/ 0 w 343"/>
                              <a:gd name="T34" fmla="*/ 0 h 8"/>
                              <a:gd name="T35" fmla="*/ 343 w 343"/>
                              <a:gd name="T36" fmla="*/ 8 h 8"/>
                            </a:gdLst>
                            <a:ahLst/>
                            <a:cxnLst>
                              <a:cxn ang="T22">
                                <a:pos x="T0" y="T1"/>
                              </a:cxn>
                              <a:cxn ang="T23">
                                <a:pos x="T2" y="T3"/>
                              </a:cxn>
                              <a:cxn ang="T24">
                                <a:pos x="T4" y="T5"/>
                              </a:cxn>
                              <a:cxn ang="T25">
                                <a:pos x="T6" y="T7"/>
                              </a:cxn>
                              <a:cxn ang="T26">
                                <a:pos x="T8" y="T9"/>
                              </a:cxn>
                              <a:cxn ang="T27">
                                <a:pos x="T10" y="T11"/>
                              </a:cxn>
                              <a:cxn ang="T28">
                                <a:pos x="T12" y="T13"/>
                              </a:cxn>
                              <a:cxn ang="T29">
                                <a:pos x="T14" y="T15"/>
                              </a:cxn>
                              <a:cxn ang="T30">
                                <a:pos x="T16" y="T17"/>
                              </a:cxn>
                              <a:cxn ang="T31">
                                <a:pos x="T18" y="T19"/>
                              </a:cxn>
                              <a:cxn ang="T32">
                                <a:pos x="T20" y="T21"/>
                              </a:cxn>
                            </a:cxnLst>
                            <a:rect l="T33" t="T34" r="T35" b="T36"/>
                            <a:pathLst>
                              <a:path w="343" h="8">
                                <a:moveTo>
                                  <a:pt x="0" y="3"/>
                                </a:moveTo>
                                <a:cubicBezTo>
                                  <a:pt x="12" y="4"/>
                                  <a:pt x="14" y="5"/>
                                  <a:pt x="26" y="4"/>
                                </a:cubicBezTo>
                                <a:cubicBezTo>
                                  <a:pt x="32" y="0"/>
                                  <a:pt x="39" y="1"/>
                                  <a:pt x="45" y="5"/>
                                </a:cubicBezTo>
                                <a:cubicBezTo>
                                  <a:pt x="79" y="2"/>
                                  <a:pt x="114" y="5"/>
                                  <a:pt x="148" y="4"/>
                                </a:cubicBezTo>
                                <a:cubicBezTo>
                                  <a:pt x="168" y="6"/>
                                  <a:pt x="187" y="6"/>
                                  <a:pt x="207" y="8"/>
                                </a:cubicBezTo>
                                <a:cubicBezTo>
                                  <a:pt x="213" y="7"/>
                                  <a:pt x="223" y="3"/>
                                  <a:pt x="223" y="3"/>
                                </a:cubicBezTo>
                                <a:cubicBezTo>
                                  <a:pt x="233" y="4"/>
                                  <a:pt x="241" y="5"/>
                                  <a:pt x="251" y="6"/>
                                </a:cubicBezTo>
                                <a:cubicBezTo>
                                  <a:pt x="260" y="5"/>
                                  <a:pt x="270" y="6"/>
                                  <a:pt x="279" y="3"/>
                                </a:cubicBezTo>
                                <a:cubicBezTo>
                                  <a:pt x="286" y="3"/>
                                  <a:pt x="294" y="3"/>
                                  <a:pt x="301" y="4"/>
                                </a:cubicBezTo>
                                <a:cubicBezTo>
                                  <a:pt x="303" y="4"/>
                                  <a:pt x="307" y="6"/>
                                  <a:pt x="307" y="6"/>
                                </a:cubicBezTo>
                                <a:cubicBezTo>
                                  <a:pt x="321" y="6"/>
                                  <a:pt x="331" y="2"/>
                                  <a:pt x="343" y="2"/>
                                </a:cubicBezTo>
                              </a:path>
                            </a:pathLst>
                          </a:custGeom>
                          <a:noFill/>
                          <a:ln w="3810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l" defTabSz="914400" rtl="0" eaLnBrk="1" fontAlgn="base" latinLnBrk="0" hangingPunct="1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en-US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itchFamily="34" charset="0"/>
                              <a:cs typeface="Arial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0" name="Freeform 117">
                            <a:extLst>
                              <a:ext uri="{FF2B5EF4-FFF2-40B4-BE49-F238E27FC236}">
                                <a16:creationId xmlns:a16="http://schemas.microsoft.com/office/drawing/2014/main" id="{00000000-0008-0000-1300-000028000000}"/>
                              </a:ext>
                            </a:extLst>
                          </xdr:cNvPr>
                          <xdr:cNvSpPr>
                            <a:spLocks/>
                          </xdr:cNvSpPr>
                        </xdr:nvSpPr>
                        <xdr:spPr bwMode="auto">
                          <a:xfrm>
                            <a:off x="503" y="2518"/>
                            <a:ext cx="405" cy="8"/>
                          </a:xfrm>
                          <a:custGeom>
                            <a:avLst/>
                            <a:gdLst>
                              <a:gd name="T0" fmla="*/ 0 w 369"/>
                              <a:gd name="T1" fmla="*/ 2147483647 h 7"/>
                              <a:gd name="T2" fmla="*/ 2147483647 w 369"/>
                              <a:gd name="T3" fmla="*/ 2147483647 h 7"/>
                              <a:gd name="T4" fmla="*/ 2147483647 w 369"/>
                              <a:gd name="T5" fmla="*/ 2147483647 h 7"/>
                              <a:gd name="T6" fmla="*/ 2147483647 w 369"/>
                              <a:gd name="T7" fmla="*/ 2147483647 h 7"/>
                              <a:gd name="T8" fmla="*/ 2147483647 w 369"/>
                              <a:gd name="T9" fmla="*/ 0 h 7"/>
                              <a:gd name="T10" fmla="*/ 2147483647 w 369"/>
                              <a:gd name="T11" fmla="*/ 2147483647 h 7"/>
                              <a:gd name="T12" fmla="*/ 0 60000 65536"/>
                              <a:gd name="T13" fmla="*/ 0 60000 65536"/>
                              <a:gd name="T14" fmla="*/ 0 60000 65536"/>
                              <a:gd name="T15" fmla="*/ 0 60000 65536"/>
                              <a:gd name="T16" fmla="*/ 0 60000 65536"/>
                              <a:gd name="T17" fmla="*/ 0 60000 65536"/>
                              <a:gd name="T18" fmla="*/ 0 w 369"/>
                              <a:gd name="T19" fmla="*/ 0 h 7"/>
                              <a:gd name="T20" fmla="*/ 369 w 369"/>
                              <a:gd name="T21" fmla="*/ 7 h 7"/>
                            </a:gdLst>
                            <a:ahLst/>
                            <a:cxnLst>
                              <a:cxn ang="T12">
                                <a:pos x="T0" y="T1"/>
                              </a:cxn>
                              <a:cxn ang="T13">
                                <a:pos x="T2" y="T3"/>
                              </a:cxn>
                              <a:cxn ang="T14">
                                <a:pos x="T4" y="T5"/>
                              </a:cxn>
                              <a:cxn ang="T15">
                                <a:pos x="T6" y="T7"/>
                              </a:cxn>
                              <a:cxn ang="T16">
                                <a:pos x="T8" y="T9"/>
                              </a:cxn>
                              <a:cxn ang="T17">
                                <a:pos x="T10" y="T11"/>
                              </a:cxn>
                            </a:cxnLst>
                            <a:rect l="T18" t="T19" r="T20" b="T21"/>
                            <a:pathLst>
                              <a:path w="369" h="7">
                                <a:moveTo>
                                  <a:pt x="0" y="3"/>
                                </a:moveTo>
                                <a:cubicBezTo>
                                  <a:pt x="10" y="5"/>
                                  <a:pt x="17" y="6"/>
                                  <a:pt x="28" y="7"/>
                                </a:cubicBezTo>
                                <a:cubicBezTo>
                                  <a:pt x="63" y="5"/>
                                  <a:pt x="92" y="4"/>
                                  <a:pt x="129" y="3"/>
                                </a:cubicBezTo>
                                <a:cubicBezTo>
                                  <a:pt x="160" y="0"/>
                                  <a:pt x="191" y="3"/>
                                  <a:pt x="222" y="4"/>
                                </a:cubicBezTo>
                                <a:cubicBezTo>
                                  <a:pt x="249" y="7"/>
                                  <a:pt x="277" y="2"/>
                                  <a:pt x="304" y="0"/>
                                </a:cubicBezTo>
                                <a:cubicBezTo>
                                  <a:pt x="326" y="1"/>
                                  <a:pt x="347" y="4"/>
                                  <a:pt x="369" y="4"/>
                                </a:cubicBezTo>
                              </a:path>
                            </a:pathLst>
                          </a:custGeom>
                          <a:noFill/>
                          <a:ln w="3810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l" defTabSz="914400" rtl="0" eaLnBrk="1" fontAlgn="base" latinLnBrk="0" hangingPunct="1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en-US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itchFamily="34" charset="0"/>
                              <a:cs typeface="Arial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1" name="Freeform 118">
                            <a:extLst>
                              <a:ext uri="{FF2B5EF4-FFF2-40B4-BE49-F238E27FC236}">
                                <a16:creationId xmlns:a16="http://schemas.microsoft.com/office/drawing/2014/main" id="{00000000-0008-0000-1300-000029000000}"/>
                              </a:ext>
                            </a:extLst>
                          </xdr:cNvPr>
                          <xdr:cNvSpPr>
                            <a:spLocks/>
                          </xdr:cNvSpPr>
                        </xdr:nvSpPr>
                        <xdr:spPr bwMode="auto">
                          <a:xfrm>
                            <a:off x="882" y="2518"/>
                            <a:ext cx="481" cy="15"/>
                          </a:xfrm>
                          <a:custGeom>
                            <a:avLst/>
                            <a:gdLst>
                              <a:gd name="T0" fmla="*/ 0 w 376"/>
                              <a:gd name="T1" fmla="*/ 2147483647 h 17"/>
                              <a:gd name="T2" fmla="*/ 2147483647 w 376"/>
                              <a:gd name="T3" fmla="*/ 2147483647 h 17"/>
                              <a:gd name="T4" fmla="*/ 2147483647 w 376"/>
                              <a:gd name="T5" fmla="*/ 2147483647 h 17"/>
                              <a:gd name="T6" fmla="*/ 2147483647 w 376"/>
                              <a:gd name="T7" fmla="*/ 2147483647 h 17"/>
                              <a:gd name="T8" fmla="*/ 2147483647 w 376"/>
                              <a:gd name="T9" fmla="*/ 2147483647 h 17"/>
                              <a:gd name="T10" fmla="*/ 2147483647 w 376"/>
                              <a:gd name="T11" fmla="*/ 2147483647 h 17"/>
                              <a:gd name="T12" fmla="*/ 0 60000 65536"/>
                              <a:gd name="T13" fmla="*/ 0 60000 65536"/>
                              <a:gd name="T14" fmla="*/ 0 60000 65536"/>
                              <a:gd name="T15" fmla="*/ 0 60000 65536"/>
                              <a:gd name="T16" fmla="*/ 0 60000 65536"/>
                              <a:gd name="T17" fmla="*/ 0 60000 65536"/>
                              <a:gd name="T18" fmla="*/ 0 w 376"/>
                              <a:gd name="T19" fmla="*/ 0 h 17"/>
                              <a:gd name="T20" fmla="*/ 376 w 376"/>
                              <a:gd name="T21" fmla="*/ 17 h 17"/>
                            </a:gdLst>
                            <a:ahLst/>
                            <a:cxnLst>
                              <a:cxn ang="T12">
                                <a:pos x="T0" y="T1"/>
                              </a:cxn>
                              <a:cxn ang="T13">
                                <a:pos x="T2" y="T3"/>
                              </a:cxn>
                              <a:cxn ang="T14">
                                <a:pos x="T4" y="T5"/>
                              </a:cxn>
                              <a:cxn ang="T15">
                                <a:pos x="T6" y="T7"/>
                              </a:cxn>
                              <a:cxn ang="T16">
                                <a:pos x="T8" y="T9"/>
                              </a:cxn>
                              <a:cxn ang="T17">
                                <a:pos x="T10" y="T11"/>
                              </a:cxn>
                            </a:cxnLst>
                            <a:rect l="T18" t="T19" r="T20" b="T21"/>
                            <a:pathLst>
                              <a:path w="376" h="17">
                                <a:moveTo>
                                  <a:pt x="0" y="5"/>
                                </a:moveTo>
                                <a:cubicBezTo>
                                  <a:pt x="23" y="4"/>
                                  <a:pt x="36" y="3"/>
                                  <a:pt x="59" y="4"/>
                                </a:cubicBezTo>
                                <a:cubicBezTo>
                                  <a:pt x="79" y="17"/>
                                  <a:pt x="111" y="6"/>
                                  <a:pt x="136" y="4"/>
                                </a:cubicBezTo>
                                <a:cubicBezTo>
                                  <a:pt x="184" y="7"/>
                                  <a:pt x="165" y="6"/>
                                  <a:pt x="195" y="8"/>
                                </a:cubicBezTo>
                                <a:cubicBezTo>
                                  <a:pt x="225" y="5"/>
                                  <a:pt x="256" y="4"/>
                                  <a:pt x="286" y="3"/>
                                </a:cubicBezTo>
                                <a:cubicBezTo>
                                  <a:pt x="316" y="0"/>
                                  <a:pt x="346" y="6"/>
                                  <a:pt x="376" y="6"/>
                                </a:cubicBezTo>
                              </a:path>
                            </a:pathLst>
                          </a:custGeom>
                          <a:noFill/>
                          <a:ln w="38100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l" defTabSz="914400" rtl="0" eaLnBrk="1" fontAlgn="base" latinLnBrk="0" hangingPunct="1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en-US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itchFamily="34" charset="0"/>
                              <a:cs typeface="Arial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2" name="Line 220">
                            <a:extLst>
                              <a:ext uri="{FF2B5EF4-FFF2-40B4-BE49-F238E27FC236}">
                                <a16:creationId xmlns:a16="http://schemas.microsoft.com/office/drawing/2014/main" id="{00000000-0008-0000-1300-00002A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54" y="2462"/>
                            <a:ext cx="437" cy="9"/>
                          </a:xfrm>
                          <a:prstGeom prst="line">
                            <a:avLst/>
                          </a:prstGeom>
                          <a:noFill/>
                          <a:ln w="9525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  <xdr:sp macro="" textlink="">
                        <xdr:nvSpPr>
                          <xdr:cNvPr id="43" name="Line 221">
                            <a:extLst>
                              <a:ext uri="{FF2B5EF4-FFF2-40B4-BE49-F238E27FC236}">
                                <a16:creationId xmlns:a16="http://schemas.microsoft.com/office/drawing/2014/main" id="{00000000-0008-0000-1300-00002B000000}"/>
                              </a:ext>
                            </a:extLst>
                          </xdr:cNvPr>
                          <xdr:cNvSpPr>
                            <a:spLocks noChangeShapeType="1"/>
                          </xdr:cNvSpPr>
                        </xdr:nvSpPr>
                        <xdr:spPr bwMode="auto">
                          <a:xfrm flipV="1">
                            <a:off x="222" y="2480"/>
                            <a:ext cx="471" cy="12"/>
                          </a:xfrm>
                          <a:prstGeom prst="line">
                            <a:avLst/>
                          </a:prstGeom>
                          <a:noFill/>
                          <a:ln w="9525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91440" tIns="45720" rIns="91440" bIns="4572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en-US"/>
                            </a:defPPr>
                            <a:lvl1pPr marL="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endParaRPr lang="en-US"/>
                          </a:p>
                        </xdr:txBody>
                      </xdr:sp>
                    </xdr:grpSp>
                  </xdr:grpSp>
                </xdr:grpSp>
                <xdr:grpSp>
                  <xdr:nvGrpSpPr>
                    <xdr:cNvPr id="27" name="Group 189">
                      <a:extLst>
                        <a:ext uri="{FF2B5EF4-FFF2-40B4-BE49-F238E27FC236}">
                          <a16:creationId xmlns:a16="http://schemas.microsoft.com/office/drawing/2014/main" id="{00000000-0008-0000-1300-00001B00000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313" y="2431"/>
                      <a:ext cx="937" cy="89"/>
                      <a:chOff x="313" y="2431"/>
                      <a:chExt cx="937" cy="89"/>
                    </a:xfrm>
                  </xdr:grpSpPr>
                  <xdr:sp macro="" textlink="">
                    <xdr:nvSpPr>
                      <xdr:cNvPr id="28" name="Line 121">
                        <a:extLst>
                          <a:ext uri="{FF2B5EF4-FFF2-40B4-BE49-F238E27FC236}">
                            <a16:creationId xmlns:a16="http://schemas.microsoft.com/office/drawing/2014/main" id="{00000000-0008-0000-1300-00001C000000}"/>
                          </a:ext>
                        </a:extLst>
                      </xdr:cNvPr>
                      <xdr:cNvSpPr>
                        <a:spLocks noChangeShapeType="1"/>
                      </xdr:cNvSpPr>
                    </xdr:nvSpPr>
                    <xdr:spPr bwMode="auto">
                      <a:xfrm>
                        <a:off x="1065" y="2440"/>
                        <a:ext cx="185" cy="80"/>
                      </a:xfrm>
                      <a:prstGeom prst="line">
                        <a:avLst/>
                      </a:prstGeom>
                      <a:noFill/>
                      <a:ln w="9525">
                        <a:solidFill>
                          <a:srgbClr val="000000"/>
                        </a:solidFill>
                        <a:round/>
                        <a:headEnd/>
                        <a:tailEnd/>
                      </a:ln>
                    </xdr:spPr>
                    <xdr:txBody>
                      <a:bodyPr vert="horz" wrap="square" lIns="91440" tIns="45720" rIns="91440" bIns="45720" numCol="1" anchor="t" anchorCtr="0" compatLnSpc="1">
                        <a:prstTxWarp prst="textNoShape">
                          <a:avLst/>
                        </a:prstTxWarp>
                      </a:bodyPr>
                      <a:lstStyle>
                        <a:defPPr>
                          <a:defRPr lang="en-U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en-US"/>
                      </a:p>
                    </xdr:txBody>
                  </xdr:sp>
                  <xdr:grpSp>
                    <xdr:nvGrpSpPr>
                      <xdr:cNvPr id="29" name="Group 191">
                        <a:extLst>
                          <a:ext uri="{FF2B5EF4-FFF2-40B4-BE49-F238E27FC236}">
                            <a16:creationId xmlns:a16="http://schemas.microsoft.com/office/drawing/2014/main" id="{00000000-0008-0000-1300-00001D00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313" y="2431"/>
                        <a:ext cx="864" cy="57"/>
                        <a:chOff x="313" y="2431"/>
                        <a:chExt cx="864" cy="57"/>
                      </a:xfrm>
                    </xdr:grpSpPr>
                    <xdr:sp macro="" textlink="">
                      <xdr:nvSpPr>
                        <xdr:cNvPr id="30" name="Line 222">
                          <a:extLst>
                            <a:ext uri="{FF2B5EF4-FFF2-40B4-BE49-F238E27FC236}">
                              <a16:creationId xmlns:a16="http://schemas.microsoft.com/office/drawing/2014/main" id="{00000000-0008-0000-1300-00001E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691" y="2462"/>
                          <a:ext cx="443" cy="8"/>
                        </a:xfrm>
                        <a:prstGeom prst="line">
                          <a:avLst/>
                        </a:prstGeom>
                        <a:noFill/>
                        <a:ln w="9525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31" name="Line 224">
                          <a:extLst>
                            <a:ext uri="{FF2B5EF4-FFF2-40B4-BE49-F238E27FC236}">
                              <a16:creationId xmlns:a16="http://schemas.microsoft.com/office/drawing/2014/main" id="{00000000-0008-0000-1300-00001F000000}"/>
                            </a:ext>
                          </a:extLst>
                        </xdr:cNvPr>
                        <xdr:cNvSpPr>
                          <a:spLocks noChangeShapeType="1"/>
                        </xdr:cNvSpPr>
                      </xdr:nvSpPr>
                      <xdr:spPr bwMode="auto">
                        <a:xfrm>
                          <a:off x="693" y="2481"/>
                          <a:ext cx="484" cy="7"/>
                        </a:xfrm>
                        <a:prstGeom prst="line">
                          <a:avLst/>
                        </a:prstGeom>
                        <a:noFill/>
                        <a:ln w="9525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en-US"/>
                        </a:p>
                      </xdr:txBody>
                    </xdr:sp>
                    <xdr:sp macro="" textlink="">
                      <xdr:nvSpPr>
                        <xdr:cNvPr id="32" name="Freeform 45576">
                          <a:extLst>
                            <a:ext uri="{FF2B5EF4-FFF2-40B4-BE49-F238E27FC236}">
                              <a16:creationId xmlns:a16="http://schemas.microsoft.com/office/drawing/2014/main" id="{00000000-0008-0000-1300-000020000000}"/>
                            </a:ext>
                          </a:extLst>
                        </xdr:cNvPr>
                        <xdr:cNvSpPr>
                          <a:spLocks/>
                        </xdr:cNvSpPr>
                      </xdr:nvSpPr>
                      <xdr:spPr bwMode="auto">
                        <a:xfrm>
                          <a:off x="313" y="2431"/>
                          <a:ext cx="760" cy="11"/>
                        </a:xfrm>
                        <a:custGeom>
                          <a:avLst/>
                          <a:gdLst>
                            <a:gd name="T0" fmla="*/ 0 w 755"/>
                            <a:gd name="T1" fmla="*/ 2147483647 h 7"/>
                            <a:gd name="T2" fmla="*/ 2147483647 w 755"/>
                            <a:gd name="T3" fmla="*/ 0 h 7"/>
                            <a:gd name="T4" fmla="*/ 2147483647 w 755"/>
                            <a:gd name="T5" fmla="*/ 2147483647 h 7"/>
                            <a:gd name="T6" fmla="*/ 0 60000 65536"/>
                            <a:gd name="T7" fmla="*/ 0 60000 65536"/>
                            <a:gd name="T8" fmla="*/ 0 60000 65536"/>
                            <a:gd name="T9" fmla="*/ 0 w 755"/>
                            <a:gd name="T10" fmla="*/ 0 h 7"/>
                            <a:gd name="T11" fmla="*/ 755 w 755"/>
                            <a:gd name="T12" fmla="*/ 7 h 7"/>
                          </a:gdLst>
                          <a:ahLst/>
                          <a:cxnLst>
                            <a:cxn ang="T6">
                              <a:pos x="T0" y="T1"/>
                            </a:cxn>
                            <a:cxn ang="T7">
                              <a:pos x="T2" y="T3"/>
                            </a:cxn>
                            <a:cxn ang="T8">
                              <a:pos x="T4" y="T5"/>
                            </a:cxn>
                          </a:cxnLst>
                          <a:rect l="T9" t="T10" r="T11" b="T12"/>
                          <a:pathLst>
                            <a:path w="755" h="7">
                              <a:moveTo>
                                <a:pt x="0" y="7"/>
                              </a:moveTo>
                              <a:lnTo>
                                <a:pt x="376" y="0"/>
                              </a:lnTo>
                              <a:lnTo>
                                <a:pt x="755" y="7"/>
                              </a:lnTo>
                            </a:path>
                          </a:pathLst>
                        </a:custGeom>
                        <a:noFill/>
                        <a:ln w="28575">
                          <a:solidFill>
                            <a:srgbClr val="FF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91440" tIns="45720" rIns="91440" bIns="4572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en-U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l" defTabSz="914400" rtl="0" eaLnBrk="1" fontAlgn="base" latinLnBrk="0" hangingPunct="1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en-US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itchFamily="34" charset="0"/>
                            <a:cs typeface="Arial" pitchFamily="34" charset="0"/>
                          </a:endParaRPr>
                        </a:p>
                      </xdr:txBody>
                    </xdr:sp>
                  </xdr:grpSp>
                </xdr:grpSp>
              </xdr:grpSp>
            </xdr:grpSp>
            <xdr:sp macro="" textlink="">
              <xdr:nvSpPr>
                <xdr:cNvPr id="20" name="Text Box 196">
                  <a:extLst>
                    <a:ext uri="{FF2B5EF4-FFF2-40B4-BE49-F238E27FC236}">
                      <a16:creationId xmlns:a16="http://schemas.microsoft.com/office/drawing/2014/main" id="{00000000-0008-0000-1300-000014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" y="2576"/>
                  <a:ext cx="104" cy="38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6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ระดับดินเดิม</a:t>
                  </a:r>
                </a:p>
              </xdr:txBody>
            </xdr:sp>
            <xdr:sp macro="" textlink="">
              <xdr:nvSpPr>
                <xdr:cNvPr id="21" name="Text Box 197">
                  <a:extLst>
                    <a:ext uri="{FF2B5EF4-FFF2-40B4-BE49-F238E27FC236}">
                      <a16:creationId xmlns:a16="http://schemas.microsoft.com/office/drawing/2014/main" id="{00000000-0008-0000-1300-00001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591" y="2484"/>
                  <a:ext cx="64" cy="20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l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</a:t>
                  </a:r>
                </a:p>
              </xdr:txBody>
            </xdr:sp>
            <xdr:sp macro="" textlink="">
              <xdr:nvSpPr>
                <xdr:cNvPr id="22" name="Text Box 198">
                  <a:extLst>
                    <a:ext uri="{FF2B5EF4-FFF2-40B4-BE49-F238E27FC236}">
                      <a16:creationId xmlns:a16="http://schemas.microsoft.com/office/drawing/2014/main" id="{00000000-0008-0000-1300-00001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781" y="2485"/>
                  <a:ext cx="87" cy="24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   </a:t>
                  </a:r>
                </a:p>
              </xdr:txBody>
            </xdr:sp>
            <xdr:sp macro="" textlink="">
              <xdr:nvSpPr>
                <xdr:cNvPr id="23" name="Text Box 199">
                  <a:extLst>
                    <a:ext uri="{FF2B5EF4-FFF2-40B4-BE49-F238E27FC236}">
                      <a16:creationId xmlns:a16="http://schemas.microsoft.com/office/drawing/2014/main" id="{00000000-0008-0000-1300-000017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992" y="2492"/>
                  <a:ext cx="77" cy="21"/>
                </a:xfrm>
                <a:prstGeom prst="rect">
                  <a:avLst/>
                </a:prstGeom>
                <a:noFill/>
                <a:ln w="9525" algn="ctr">
                  <a:noFill/>
                  <a:miter lim="800000"/>
                  <a:headEnd/>
                  <a:tailEnd/>
                </a:ln>
                <a:effectLst/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0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r>
                    <a:rPr kumimoji="0" lang="en-US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TH SarabunPSK" pitchFamily="34" charset="-34"/>
                      <a:cs typeface="TH SarabunPSK" pitchFamily="34" charset="-34"/>
                    </a:rPr>
                    <a:t>Slope  </a:t>
                  </a:r>
                </a:p>
              </xdr:txBody>
            </xdr:sp>
          </xdr:grpSp>
          <xdr:sp macro="" textlink="">
            <xdr:nvSpPr>
              <xdr:cNvPr id="11" name="Text Box 102">
                <a:extLst>
                  <a:ext uri="{FF2B5EF4-FFF2-40B4-BE49-F238E27FC236}">
                    <a16:creationId xmlns:a16="http://schemas.microsoft.com/office/drawing/2014/main" id="{00000000-0008-0000-1300-00000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rot="19876519">
                <a:off x="126351" y="3359019"/>
                <a:ext cx="990600" cy="361950"/>
              </a:xfrm>
              <a:prstGeom prst="rect">
                <a:avLst/>
              </a:prstGeom>
              <a:noFill/>
              <a:ln w="9525" algn="ctr">
                <a:noFill/>
                <a:miter lim="800000"/>
                <a:headEnd/>
                <a:tailEnd/>
              </a:ln>
              <a:effectLst/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914400" rtl="0" eaLnBrk="1" fontAlgn="base" latinLnBrk="0" hangingPunct="1">
                  <a:lnSpc>
                    <a:spcPct val="100000"/>
                  </a:lnSpc>
                  <a:spcBef>
                    <a:spcPct val="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r>
                  <a:rPr kumimoji="0" lang="en-US" sz="1400" b="0" i="0" u="none" strike="noStrike" cap="none" normalizeH="0" baseline="0">
                    <a:ln>
                      <a:noFill/>
                    </a:ln>
                    <a:solidFill>
                      <a:schemeClr val="tx1"/>
                    </a:solidFill>
                    <a:effectLst/>
                    <a:latin typeface="TH SarabunPSK" pitchFamily="34" charset="-34"/>
                    <a:cs typeface="TH SarabunPSK" pitchFamily="34" charset="-34"/>
                  </a:rPr>
                  <a:t>Side  Slope</a:t>
                </a:r>
              </a:p>
            </xdr:txBody>
          </xdr:sp>
          <xdr:sp macro="" textlink="">
            <xdr:nvSpPr>
              <xdr:cNvPr id="12" name="Text Box 102">
                <a:extLst>
                  <a:ext uri="{FF2B5EF4-FFF2-40B4-BE49-F238E27FC236}">
                    <a16:creationId xmlns:a16="http://schemas.microsoft.com/office/drawing/2014/main" id="{00000000-0008-0000-1300-00000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rot="1275052">
                <a:off x="9168131" y="3372016"/>
                <a:ext cx="990600" cy="361950"/>
              </a:xfrm>
              <a:prstGeom prst="rect">
                <a:avLst/>
              </a:prstGeom>
              <a:noFill/>
              <a:ln w="9525" algn="ctr">
                <a:noFill/>
                <a:miter lim="800000"/>
                <a:headEnd/>
                <a:tailEnd/>
              </a:ln>
              <a:effectLst/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l" defTabSz="914400" rtl="0" eaLnBrk="1" fontAlgn="base" latinLnBrk="0" hangingPunct="1">
                  <a:lnSpc>
                    <a:spcPct val="100000"/>
                  </a:lnSpc>
                  <a:spcBef>
                    <a:spcPct val="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r>
                  <a:rPr kumimoji="0" lang="en-US" sz="1400" b="0" i="0" u="none" strike="noStrike" cap="none" normalizeH="0" baseline="0">
                    <a:ln>
                      <a:noFill/>
                    </a:ln>
                    <a:solidFill>
                      <a:schemeClr val="tx1"/>
                    </a:solidFill>
                    <a:effectLst/>
                    <a:latin typeface="TH SarabunPSK" pitchFamily="34" charset="-34"/>
                    <a:cs typeface="TH SarabunPSK" pitchFamily="34" charset="-34"/>
                  </a:rPr>
                  <a:t>Side  Slope</a:t>
                </a:r>
              </a:p>
            </xdr:txBody>
          </xdr:sp>
          <xdr:sp macro="" textlink="">
            <xdr:nvSpPr>
              <xdr:cNvPr id="13" name="Line 407">
                <a:extLst>
                  <a:ext uri="{FF2B5EF4-FFF2-40B4-BE49-F238E27FC236}">
                    <a16:creationId xmlns:a16="http://schemas.microsoft.com/office/drawing/2014/main" id="{00000000-0008-0000-1300-00000D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5047312" y="1785926"/>
                <a:ext cx="0" cy="264795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prstDash val="lgDashDot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8" name="Line 174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433020" y="30972432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" name="Line 174">
              <a:extLst>
                <a:ext uri="{FF2B5EF4-FFF2-40B4-BE49-F238E27FC236}">
                  <a16:creationId xmlns:a16="http://schemas.microsoft.com/office/drawing/2014/main" id="{00000000-0008-0000-1300-00000900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8388351" y="31052574"/>
              <a:ext cx="126342" cy="138189"/>
            </a:xfrm>
            <a:prstGeom prst="line">
              <a:avLst/>
            </a:prstGeom>
            <a:noFill/>
            <a:ln w="6350">
              <a:solidFill>
                <a:srgbClr val="000000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5" name="Line 161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363081" y="30891543"/>
            <a:ext cx="289374" cy="29961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6" name="Line 171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8501743" y="31051500"/>
            <a:ext cx="139837" cy="149806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6</xdr:col>
      <xdr:colOff>121228</xdr:colOff>
      <xdr:row>8</xdr:row>
      <xdr:rowOff>17316</xdr:rowOff>
    </xdr:from>
    <xdr:to>
      <xdr:col>17</xdr:col>
      <xdr:colOff>195373</xdr:colOff>
      <xdr:row>11</xdr:row>
      <xdr:rowOff>228022</xdr:rowOff>
    </xdr:to>
    <xdr:grpSp>
      <xdr:nvGrpSpPr>
        <xdr:cNvPr id="111" name="กลุ่ม 2">
          <a:extLst>
            <a:ext uri="{FF2B5EF4-FFF2-40B4-BE49-F238E27FC236}">
              <a16:creationId xmlns:a16="http://schemas.microsoft.com/office/drawing/2014/main" id="{00000000-0008-0000-1300-00006F000000}"/>
            </a:ext>
          </a:extLst>
        </xdr:cNvPr>
        <xdr:cNvGrpSpPr/>
      </xdr:nvGrpSpPr>
      <xdr:grpSpPr>
        <a:xfrm>
          <a:off x="4693228" y="2521030"/>
          <a:ext cx="9027645" cy="1149599"/>
          <a:chOff x="4051391" y="27404490"/>
          <a:chExt cx="8356059" cy="1152000"/>
        </a:xfrm>
      </xdr:grpSpPr>
      <xdr:sp macro="" textlink="">
        <xdr:nvSpPr>
          <xdr:cNvPr id="112" name="Line 125">
            <a:extLst>
              <a:ext uri="{FF2B5EF4-FFF2-40B4-BE49-F238E27FC236}">
                <a16:creationId xmlns:a16="http://schemas.microsoft.com/office/drawing/2014/main" id="{00000000-0008-0000-1300-00007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051391" y="28271275"/>
            <a:ext cx="83560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3" name="Line 126">
            <a:extLst>
              <a:ext uri="{FF2B5EF4-FFF2-40B4-BE49-F238E27FC236}">
                <a16:creationId xmlns:a16="http://schemas.microsoft.com/office/drawing/2014/main" id="{00000000-0008-0000-1300-00007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92019" y="28215006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4" name="Line 312">
            <a:extLst>
              <a:ext uri="{FF2B5EF4-FFF2-40B4-BE49-F238E27FC236}">
                <a16:creationId xmlns:a16="http://schemas.microsoft.com/office/drawing/2014/main" id="{00000000-0008-0000-1300-000072000000}"/>
              </a:ext>
            </a:extLst>
          </xdr:cNvPr>
          <xdr:cNvSpPr>
            <a:spLocks noChangeShapeType="1"/>
          </xdr:cNvSpPr>
        </xdr:nvSpPr>
        <xdr:spPr bwMode="auto">
          <a:xfrm>
            <a:off x="4269844" y="27437854"/>
            <a:ext cx="0" cy="10800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5" name="Line 312">
            <a:extLst>
              <a:ext uri="{FF2B5EF4-FFF2-40B4-BE49-F238E27FC236}">
                <a16:creationId xmlns:a16="http://schemas.microsoft.com/office/drawing/2014/main" id="{00000000-0008-0000-1300-000073000000}"/>
              </a:ext>
            </a:extLst>
          </xdr:cNvPr>
          <xdr:cNvSpPr>
            <a:spLocks noChangeShapeType="1"/>
          </xdr:cNvSpPr>
        </xdr:nvSpPr>
        <xdr:spPr bwMode="auto">
          <a:xfrm>
            <a:off x="12119672" y="27404490"/>
            <a:ext cx="0" cy="11520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6" name="Line 126">
            <a:extLst>
              <a:ext uri="{FF2B5EF4-FFF2-40B4-BE49-F238E27FC236}">
                <a16:creationId xmlns:a16="http://schemas.microsoft.com/office/drawing/2014/main" id="{00000000-0008-0000-1300-00007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035118" y="28232712"/>
            <a:ext cx="175107" cy="1238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34979</xdr:colOff>
      <xdr:row>27</xdr:row>
      <xdr:rowOff>33445</xdr:rowOff>
    </xdr:from>
    <xdr:to>
      <xdr:col>6</xdr:col>
      <xdr:colOff>245667</xdr:colOff>
      <xdr:row>29</xdr:row>
      <xdr:rowOff>15440</xdr:rowOff>
    </xdr:to>
    <xdr:grpSp>
      <xdr:nvGrpSpPr>
        <xdr:cNvPr id="117" name="Group 21">
          <a:extLst>
            <a:ext uri="{FF2B5EF4-FFF2-40B4-BE49-F238E27FC236}">
              <a16:creationId xmlns:a16="http://schemas.microsoft.com/office/drawing/2014/main" id="{00000000-0008-0000-1300-000075000000}"/>
            </a:ext>
          </a:extLst>
        </xdr:cNvPr>
        <xdr:cNvGrpSpPr>
          <a:grpSpLocks/>
        </xdr:cNvGrpSpPr>
      </xdr:nvGrpSpPr>
      <xdr:grpSpPr bwMode="auto">
        <a:xfrm>
          <a:off x="538443" y="8483481"/>
          <a:ext cx="4279224" cy="607923"/>
          <a:chOff x="553" y="2795"/>
          <a:chExt cx="346" cy="64"/>
        </a:xfrm>
      </xdr:grpSpPr>
      <xdr:sp macro="" textlink="">
        <xdr:nvSpPr>
          <xdr:cNvPr id="118" name="Oval 6543" descr="5%">
            <a:extLst>
              <a:ext uri="{FF2B5EF4-FFF2-40B4-BE49-F238E27FC236}">
                <a16:creationId xmlns:a16="http://schemas.microsoft.com/office/drawing/2014/main" id="{00000000-0008-0000-1300-000076000000}"/>
              </a:ext>
            </a:extLst>
          </xdr:cNvPr>
          <xdr:cNvSpPr>
            <a:spLocks noChangeArrowheads="1"/>
          </xdr:cNvSpPr>
        </xdr:nvSpPr>
        <xdr:spPr bwMode="auto">
          <a:xfrm>
            <a:off x="553" y="2795"/>
            <a:ext cx="59" cy="64"/>
          </a:xfrm>
          <a:prstGeom prst="ellips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6544">
            <a:extLst>
              <a:ext uri="{FF2B5EF4-FFF2-40B4-BE49-F238E27FC236}">
                <a16:creationId xmlns:a16="http://schemas.microsoft.com/office/drawing/2014/main" id="{00000000-0008-0000-1300-000077000000}"/>
              </a:ext>
            </a:extLst>
          </xdr:cNvPr>
          <xdr:cNvSpPr>
            <a:spLocks noChangeShapeType="1"/>
          </xdr:cNvSpPr>
        </xdr:nvSpPr>
        <xdr:spPr bwMode="auto">
          <a:xfrm>
            <a:off x="553" y="2827"/>
            <a:ext cx="346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466855</xdr:colOff>
      <xdr:row>12</xdr:row>
      <xdr:rowOff>224118</xdr:rowOff>
    </xdr:from>
    <xdr:to>
      <xdr:col>8</xdr:col>
      <xdr:colOff>392208</xdr:colOff>
      <xdr:row>12</xdr:row>
      <xdr:rowOff>235322</xdr:rowOff>
    </xdr:to>
    <xdr:cxnSp macro="">
      <xdr:nvCxnSpPr>
        <xdr:cNvPr id="120" name="ตัวเชื่อมต่อตรง 18">
          <a:extLst>
            <a:ext uri="{FF2B5EF4-FFF2-40B4-BE49-F238E27FC236}">
              <a16:creationId xmlns:a16="http://schemas.microsoft.com/office/drawing/2014/main" id="{00000000-0008-0000-1300-000078000000}"/>
            </a:ext>
          </a:extLst>
        </xdr:cNvPr>
        <xdr:cNvCxnSpPr/>
      </xdr:nvCxnSpPr>
      <xdr:spPr>
        <a:xfrm rot="10800000" flipV="1">
          <a:off x="4734055" y="3538818"/>
          <a:ext cx="534953" cy="11204"/>
        </a:xfrm>
        <a:prstGeom prst="line">
          <a:avLst/>
        </a:prstGeom>
        <a:ln w="5715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941792</xdr:colOff>
      <xdr:row>12</xdr:row>
      <xdr:rowOff>141759</xdr:rowOff>
    </xdr:from>
    <xdr:to>
      <xdr:col>10</xdr:col>
      <xdr:colOff>1483470</xdr:colOff>
      <xdr:row>12</xdr:row>
      <xdr:rowOff>143002</xdr:rowOff>
    </xdr:to>
    <xdr:cxnSp macro="">
      <xdr:nvCxnSpPr>
        <xdr:cNvPr id="121" name="ตัวเชื่อมต่อตรง 20">
          <a:extLst>
            <a:ext uri="{FF2B5EF4-FFF2-40B4-BE49-F238E27FC236}">
              <a16:creationId xmlns:a16="http://schemas.microsoft.com/office/drawing/2014/main" id="{00000000-0008-0000-1300-000079000000}"/>
            </a:ext>
          </a:extLst>
        </xdr:cNvPr>
        <xdr:cNvCxnSpPr/>
      </xdr:nvCxnSpPr>
      <xdr:spPr>
        <a:xfrm rot="10800000" flipV="1">
          <a:off x="8741086" y="3906935"/>
          <a:ext cx="541678" cy="1243"/>
        </a:xfrm>
        <a:prstGeom prst="line">
          <a:avLst/>
        </a:prstGeom>
        <a:ln w="571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10519</xdr:colOff>
      <xdr:row>12</xdr:row>
      <xdr:rowOff>224118</xdr:rowOff>
    </xdr:from>
    <xdr:to>
      <xdr:col>13</xdr:col>
      <xdr:colOff>548872</xdr:colOff>
      <xdr:row>19</xdr:row>
      <xdr:rowOff>192897</xdr:rowOff>
    </xdr:to>
    <xdr:grpSp>
      <xdr:nvGrpSpPr>
        <xdr:cNvPr id="125" name="Group 8">
          <a:extLst>
            <a:ext uri="{FF2B5EF4-FFF2-40B4-BE49-F238E27FC236}">
              <a16:creationId xmlns:a16="http://schemas.microsoft.com/office/drawing/2014/main" id="{00000000-0008-0000-1300-00007D000000}"/>
            </a:ext>
          </a:extLst>
        </xdr:cNvPr>
        <xdr:cNvGrpSpPr>
          <a:grpSpLocks/>
        </xdr:cNvGrpSpPr>
      </xdr:nvGrpSpPr>
      <xdr:grpSpPr bwMode="auto">
        <a:xfrm>
          <a:off x="10896233" y="3979689"/>
          <a:ext cx="538353" cy="2159529"/>
          <a:chOff x="931" y="2408"/>
          <a:chExt cx="31" cy="194"/>
        </a:xfrm>
      </xdr:grpSpPr>
      <xdr:sp macro="" textlink="">
        <xdr:nvSpPr>
          <xdr:cNvPr id="126" name="Line 252">
            <a:extLst>
              <a:ext uri="{FF2B5EF4-FFF2-40B4-BE49-F238E27FC236}">
                <a16:creationId xmlns:a16="http://schemas.microsoft.com/office/drawing/2014/main" id="{00000000-0008-0000-1300-00007E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31" y="2602"/>
            <a:ext cx="31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Line 385">
            <a:extLst>
              <a:ext uri="{FF2B5EF4-FFF2-40B4-BE49-F238E27FC236}">
                <a16:creationId xmlns:a16="http://schemas.microsoft.com/office/drawing/2014/main" id="{00000000-0008-0000-1300-00007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31" y="2408"/>
            <a:ext cx="0" cy="19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13</xdr:col>
      <xdr:colOff>175381</xdr:colOff>
      <xdr:row>12</xdr:row>
      <xdr:rowOff>56030</xdr:rowOff>
    </xdr:from>
    <xdr:to>
      <xdr:col>13</xdr:col>
      <xdr:colOff>570372</xdr:colOff>
      <xdr:row>18</xdr:row>
      <xdr:rowOff>185059</xdr:rowOff>
    </xdr:to>
    <xdr:grpSp>
      <xdr:nvGrpSpPr>
        <xdr:cNvPr id="128" name="Group 11">
          <a:extLst>
            <a:ext uri="{FF2B5EF4-FFF2-40B4-BE49-F238E27FC236}">
              <a16:creationId xmlns:a16="http://schemas.microsoft.com/office/drawing/2014/main" id="{00000000-0008-0000-1300-000080000000}"/>
            </a:ext>
          </a:extLst>
        </xdr:cNvPr>
        <xdr:cNvGrpSpPr>
          <a:grpSpLocks/>
        </xdr:cNvGrpSpPr>
      </xdr:nvGrpSpPr>
      <xdr:grpSpPr bwMode="auto">
        <a:xfrm>
          <a:off x="11061095" y="3811601"/>
          <a:ext cx="394991" cy="2006815"/>
          <a:chOff x="948" y="2394"/>
          <a:chExt cx="17" cy="173"/>
        </a:xfrm>
      </xdr:grpSpPr>
      <xdr:sp macro="" textlink="">
        <xdr:nvSpPr>
          <xdr:cNvPr id="129" name="Line 246">
            <a:extLst>
              <a:ext uri="{FF2B5EF4-FFF2-40B4-BE49-F238E27FC236}">
                <a16:creationId xmlns:a16="http://schemas.microsoft.com/office/drawing/2014/main" id="{00000000-0008-0000-1300-000081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567"/>
            <a:ext cx="17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Freeform 255">
            <a:extLst>
              <a:ext uri="{FF2B5EF4-FFF2-40B4-BE49-F238E27FC236}">
                <a16:creationId xmlns:a16="http://schemas.microsoft.com/office/drawing/2014/main" id="{00000000-0008-0000-1300-000082000000}"/>
              </a:ext>
            </a:extLst>
          </xdr:cNvPr>
          <xdr:cNvSpPr>
            <a:spLocks/>
          </xdr:cNvSpPr>
        </xdr:nvSpPr>
        <xdr:spPr bwMode="auto">
          <a:xfrm>
            <a:off x="948" y="2394"/>
            <a:ext cx="9" cy="18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31" name="Line 386">
            <a:extLst>
              <a:ext uri="{FF2B5EF4-FFF2-40B4-BE49-F238E27FC236}">
                <a16:creationId xmlns:a16="http://schemas.microsoft.com/office/drawing/2014/main" id="{00000000-0008-0000-1300-000083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12"/>
            <a:ext cx="0" cy="15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110779</xdr:colOff>
      <xdr:row>11</xdr:row>
      <xdr:rowOff>302558</xdr:rowOff>
    </xdr:from>
    <xdr:to>
      <xdr:col>14</xdr:col>
      <xdr:colOff>575090</xdr:colOff>
      <xdr:row>17</xdr:row>
      <xdr:rowOff>201705</xdr:rowOff>
    </xdr:to>
    <xdr:grpSp>
      <xdr:nvGrpSpPr>
        <xdr:cNvPr id="132" name="Group 11">
          <a:extLst>
            <a:ext uri="{FF2B5EF4-FFF2-40B4-BE49-F238E27FC236}">
              <a16:creationId xmlns:a16="http://schemas.microsoft.com/office/drawing/2014/main" id="{00000000-0008-0000-1300-000084000000}"/>
            </a:ext>
          </a:extLst>
        </xdr:cNvPr>
        <xdr:cNvGrpSpPr>
          <a:grpSpLocks/>
        </xdr:cNvGrpSpPr>
      </xdr:nvGrpSpPr>
      <xdr:grpSpPr bwMode="auto">
        <a:xfrm>
          <a:off x="11649636" y="3745165"/>
          <a:ext cx="464311" cy="1776933"/>
          <a:chOff x="802" y="2389"/>
          <a:chExt cx="82" cy="179"/>
        </a:xfrm>
      </xdr:grpSpPr>
      <xdr:sp macro="" textlink="">
        <xdr:nvSpPr>
          <xdr:cNvPr id="133" name="Line 246">
            <a:extLst>
              <a:ext uri="{FF2B5EF4-FFF2-40B4-BE49-F238E27FC236}">
                <a16:creationId xmlns:a16="http://schemas.microsoft.com/office/drawing/2014/main" id="{00000000-0008-0000-1300-000085000000}"/>
              </a:ext>
            </a:extLst>
          </xdr:cNvPr>
          <xdr:cNvSpPr>
            <a:spLocks noChangeShapeType="1"/>
          </xdr:cNvSpPr>
        </xdr:nvSpPr>
        <xdr:spPr bwMode="auto">
          <a:xfrm>
            <a:off x="839" y="2568"/>
            <a:ext cx="45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Freeform 255">
            <a:extLst>
              <a:ext uri="{FF2B5EF4-FFF2-40B4-BE49-F238E27FC236}">
                <a16:creationId xmlns:a16="http://schemas.microsoft.com/office/drawing/2014/main" id="{00000000-0008-0000-1300-000086000000}"/>
              </a:ext>
            </a:extLst>
          </xdr:cNvPr>
          <xdr:cNvSpPr>
            <a:spLocks/>
          </xdr:cNvSpPr>
        </xdr:nvSpPr>
        <xdr:spPr bwMode="auto">
          <a:xfrm flipH="1">
            <a:off x="802" y="2389"/>
            <a:ext cx="38" cy="22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ln>
            <a:headEnd type="none" w="med" len="med"/>
            <a:tailEnd type="triangle" w="med" len="med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sp>
      <xdr:sp macro="" textlink="">
        <xdr:nvSpPr>
          <xdr:cNvPr id="135" name="Line 386">
            <a:extLst>
              <a:ext uri="{FF2B5EF4-FFF2-40B4-BE49-F238E27FC236}">
                <a16:creationId xmlns:a16="http://schemas.microsoft.com/office/drawing/2014/main" id="{00000000-0008-0000-1300-000087000000}"/>
              </a:ext>
            </a:extLst>
          </xdr:cNvPr>
          <xdr:cNvSpPr>
            <a:spLocks noChangeShapeType="1"/>
          </xdr:cNvSpPr>
        </xdr:nvSpPr>
        <xdr:spPr bwMode="auto">
          <a:xfrm>
            <a:off x="839" y="2407"/>
            <a:ext cx="0" cy="16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558700</xdr:colOff>
      <xdr:row>11</xdr:row>
      <xdr:rowOff>235323</xdr:rowOff>
    </xdr:from>
    <xdr:to>
      <xdr:col>10</xdr:col>
      <xdr:colOff>1191602</xdr:colOff>
      <xdr:row>18</xdr:row>
      <xdr:rowOff>171450</xdr:rowOff>
    </xdr:to>
    <xdr:grpSp>
      <xdr:nvGrpSpPr>
        <xdr:cNvPr id="136" name="Group 11">
          <a:extLst>
            <a:ext uri="{FF2B5EF4-FFF2-40B4-BE49-F238E27FC236}">
              <a16:creationId xmlns:a16="http://schemas.microsoft.com/office/drawing/2014/main" id="{00000000-0008-0000-1300-000088000000}"/>
            </a:ext>
          </a:extLst>
        </xdr:cNvPr>
        <xdr:cNvGrpSpPr>
          <a:grpSpLocks/>
        </xdr:cNvGrpSpPr>
      </xdr:nvGrpSpPr>
      <xdr:grpSpPr bwMode="auto">
        <a:xfrm>
          <a:off x="8314771" y="3677930"/>
          <a:ext cx="632902" cy="2126877"/>
          <a:chOff x="920" y="2389"/>
          <a:chExt cx="42" cy="178"/>
        </a:xfrm>
      </xdr:grpSpPr>
      <xdr:sp macro="" textlink="">
        <xdr:nvSpPr>
          <xdr:cNvPr id="137" name="Line 246">
            <a:extLst>
              <a:ext uri="{FF2B5EF4-FFF2-40B4-BE49-F238E27FC236}">
                <a16:creationId xmlns:a16="http://schemas.microsoft.com/office/drawing/2014/main" id="{00000000-0008-0000-1300-000089000000}"/>
              </a:ext>
            </a:extLst>
          </xdr:cNvPr>
          <xdr:cNvSpPr>
            <a:spLocks noChangeShapeType="1"/>
          </xdr:cNvSpPr>
        </xdr:nvSpPr>
        <xdr:spPr bwMode="auto">
          <a:xfrm>
            <a:off x="920" y="2567"/>
            <a:ext cx="29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255">
            <a:extLst>
              <a:ext uri="{FF2B5EF4-FFF2-40B4-BE49-F238E27FC236}">
                <a16:creationId xmlns:a16="http://schemas.microsoft.com/office/drawing/2014/main" id="{00000000-0008-0000-1300-00008A000000}"/>
              </a:ext>
            </a:extLst>
          </xdr:cNvPr>
          <xdr:cNvSpPr>
            <a:spLocks/>
          </xdr:cNvSpPr>
        </xdr:nvSpPr>
        <xdr:spPr bwMode="auto">
          <a:xfrm>
            <a:off x="948" y="2389"/>
            <a:ext cx="14" cy="14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39" name="Line 386">
            <a:extLst>
              <a:ext uri="{FF2B5EF4-FFF2-40B4-BE49-F238E27FC236}">
                <a16:creationId xmlns:a16="http://schemas.microsoft.com/office/drawing/2014/main" id="{00000000-0008-0000-1300-00008B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03"/>
            <a:ext cx="0" cy="16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13</xdr:col>
      <xdr:colOff>536890</xdr:colOff>
      <xdr:row>12</xdr:row>
      <xdr:rowOff>224118</xdr:rowOff>
    </xdr:from>
    <xdr:to>
      <xdr:col>14</xdr:col>
      <xdr:colOff>275665</xdr:colOff>
      <xdr:row>12</xdr:row>
      <xdr:rowOff>239809</xdr:rowOff>
    </xdr:to>
    <xdr:cxnSp macro="">
      <xdr:nvCxnSpPr>
        <xdr:cNvPr id="140" name="ตัวเชื่อมต่อตรง 139">
          <a:extLst>
            <a:ext uri="{FF2B5EF4-FFF2-40B4-BE49-F238E27FC236}">
              <a16:creationId xmlns:a16="http://schemas.microsoft.com/office/drawing/2014/main" id="{00000000-0008-0000-1300-00008C000000}"/>
            </a:ext>
          </a:extLst>
        </xdr:cNvPr>
        <xdr:cNvCxnSpPr/>
      </xdr:nvCxnSpPr>
      <xdr:spPr>
        <a:xfrm rot="10800000">
          <a:off x="8461690" y="3538818"/>
          <a:ext cx="348375" cy="15691"/>
        </a:xfrm>
        <a:prstGeom prst="line">
          <a:avLst/>
        </a:prstGeom>
        <a:ln w="5715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806819</xdr:colOff>
      <xdr:row>9</xdr:row>
      <xdr:rowOff>147280</xdr:rowOff>
    </xdr:from>
    <xdr:to>
      <xdr:col>11</xdr:col>
      <xdr:colOff>52968</xdr:colOff>
      <xdr:row>10</xdr:row>
      <xdr:rowOff>130178</xdr:rowOff>
    </xdr:to>
    <xdr:sp macro="" textlink="">
      <xdr:nvSpPr>
        <xdr:cNvPr id="142" name="Text Box 197">
          <a:extLst>
            <a:ext uri="{FF2B5EF4-FFF2-40B4-BE49-F238E27FC236}">
              <a16:creationId xmlns:a16="http://schemas.microsoft.com/office/drawing/2014/main" id="{00000000-0008-0000-1300-00008E000000}"/>
            </a:ext>
          </a:extLst>
        </xdr:cNvPr>
        <xdr:cNvSpPr txBox="1">
          <a:spLocks noChangeArrowheads="1"/>
        </xdr:cNvSpPr>
      </xdr:nvSpPr>
      <xdr:spPr bwMode="auto">
        <a:xfrm>
          <a:off x="6702794" y="2633305"/>
          <a:ext cx="55774" cy="25912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6.</a:t>
          </a:r>
          <a:r>
            <a:rPr kumimoji="0" lang="en-US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00 </a:t>
          </a: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  ม.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6</xdr:col>
      <xdr:colOff>1211866</xdr:colOff>
      <xdr:row>12</xdr:row>
      <xdr:rowOff>313764</xdr:rowOff>
    </xdr:from>
    <xdr:to>
      <xdr:col>7</xdr:col>
      <xdr:colOff>453724</xdr:colOff>
      <xdr:row>20</xdr:row>
      <xdr:rowOff>190499</xdr:rowOff>
    </xdr:to>
    <xdr:grpSp>
      <xdr:nvGrpSpPr>
        <xdr:cNvPr id="143" name="Group 5">
          <a:extLst>
            <a:ext uri="{FF2B5EF4-FFF2-40B4-BE49-F238E27FC236}">
              <a16:creationId xmlns:a16="http://schemas.microsoft.com/office/drawing/2014/main" id="{00000000-0008-0000-1300-00008F000000}"/>
            </a:ext>
          </a:extLst>
        </xdr:cNvPr>
        <xdr:cNvGrpSpPr>
          <a:grpSpLocks/>
        </xdr:cNvGrpSpPr>
      </xdr:nvGrpSpPr>
      <xdr:grpSpPr bwMode="auto">
        <a:xfrm>
          <a:off x="5783866" y="4069335"/>
          <a:ext cx="657001" cy="2380450"/>
          <a:chOff x="916" y="2412"/>
          <a:chExt cx="25" cy="222"/>
        </a:xfrm>
      </xdr:grpSpPr>
      <xdr:sp macro="" textlink="">
        <xdr:nvSpPr>
          <xdr:cNvPr id="144" name="Line 253">
            <a:extLst>
              <a:ext uri="{FF2B5EF4-FFF2-40B4-BE49-F238E27FC236}">
                <a16:creationId xmlns:a16="http://schemas.microsoft.com/office/drawing/2014/main" id="{00000000-0008-0000-1300-000090000000}"/>
              </a:ext>
            </a:extLst>
          </xdr:cNvPr>
          <xdr:cNvSpPr>
            <a:spLocks noChangeShapeType="1"/>
          </xdr:cNvSpPr>
        </xdr:nvSpPr>
        <xdr:spPr bwMode="auto">
          <a:xfrm>
            <a:off x="916" y="2634"/>
            <a:ext cx="25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5" name="Line 384">
            <a:extLst>
              <a:ext uri="{FF2B5EF4-FFF2-40B4-BE49-F238E27FC236}">
                <a16:creationId xmlns:a16="http://schemas.microsoft.com/office/drawing/2014/main" id="{00000000-0008-0000-1300-000091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916" y="2412"/>
            <a:ext cx="0" cy="2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6</xdr:col>
      <xdr:colOff>168088</xdr:colOff>
      <xdr:row>12</xdr:row>
      <xdr:rowOff>224117</xdr:rowOff>
    </xdr:from>
    <xdr:to>
      <xdr:col>10</xdr:col>
      <xdr:colOff>1312061</xdr:colOff>
      <xdr:row>13</xdr:row>
      <xdr:rowOff>22412</xdr:rowOff>
    </xdr:to>
    <xdr:sp macro="" textlink="">
      <xdr:nvSpPr>
        <xdr:cNvPr id="146" name="Line 220">
          <a:extLst>
            <a:ext uri="{FF2B5EF4-FFF2-40B4-BE49-F238E27FC236}">
              <a16:creationId xmlns:a16="http://schemas.microsoft.com/office/drawing/2014/main" id="{00000000-0008-0000-1300-000092000000}"/>
            </a:ext>
          </a:extLst>
        </xdr:cNvPr>
        <xdr:cNvSpPr>
          <a:spLocks noChangeShapeType="1"/>
        </xdr:cNvSpPr>
      </xdr:nvSpPr>
      <xdr:spPr bwMode="auto">
        <a:xfrm flipV="1">
          <a:off x="4751294" y="3989293"/>
          <a:ext cx="4360061" cy="1120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1345317</xdr:colOff>
      <xdr:row>12</xdr:row>
      <xdr:rowOff>224118</xdr:rowOff>
    </xdr:from>
    <xdr:to>
      <xdr:col>16</xdr:col>
      <xdr:colOff>358588</xdr:colOff>
      <xdr:row>13</xdr:row>
      <xdr:rowOff>33618</xdr:rowOff>
    </xdr:to>
    <xdr:sp macro="" textlink="">
      <xdr:nvSpPr>
        <xdr:cNvPr id="147" name="Line 222">
          <a:extLst>
            <a:ext uri="{FF2B5EF4-FFF2-40B4-BE49-F238E27FC236}">
              <a16:creationId xmlns:a16="http://schemas.microsoft.com/office/drawing/2014/main" id="{00000000-0008-0000-1300-000093000000}"/>
            </a:ext>
          </a:extLst>
        </xdr:cNvPr>
        <xdr:cNvSpPr>
          <a:spLocks noChangeShapeType="1"/>
        </xdr:cNvSpPr>
      </xdr:nvSpPr>
      <xdr:spPr bwMode="auto">
        <a:xfrm>
          <a:off x="6707892" y="3538818"/>
          <a:ext cx="3404296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7</xdr:col>
      <xdr:colOff>95129</xdr:colOff>
      <xdr:row>12</xdr:row>
      <xdr:rowOff>22412</xdr:rowOff>
    </xdr:from>
    <xdr:to>
      <xdr:col>7</xdr:col>
      <xdr:colOff>443650</xdr:colOff>
      <xdr:row>19</xdr:row>
      <xdr:rowOff>190498</xdr:rowOff>
    </xdr:to>
    <xdr:grpSp>
      <xdr:nvGrpSpPr>
        <xdr:cNvPr id="148" name="Group 11">
          <a:extLst>
            <a:ext uri="{FF2B5EF4-FFF2-40B4-BE49-F238E27FC236}">
              <a16:creationId xmlns:a16="http://schemas.microsoft.com/office/drawing/2014/main" id="{00000000-0008-0000-1300-000094000000}"/>
            </a:ext>
          </a:extLst>
        </xdr:cNvPr>
        <xdr:cNvGrpSpPr>
          <a:grpSpLocks/>
        </xdr:cNvGrpSpPr>
      </xdr:nvGrpSpPr>
      <xdr:grpSpPr bwMode="auto">
        <a:xfrm>
          <a:off x="6082272" y="3777983"/>
          <a:ext cx="348521" cy="2358836"/>
          <a:chOff x="948" y="2394"/>
          <a:chExt cx="15" cy="173"/>
        </a:xfrm>
      </xdr:grpSpPr>
      <xdr:sp macro="" textlink="">
        <xdr:nvSpPr>
          <xdr:cNvPr id="149" name="Line 246">
            <a:extLst>
              <a:ext uri="{FF2B5EF4-FFF2-40B4-BE49-F238E27FC236}">
                <a16:creationId xmlns:a16="http://schemas.microsoft.com/office/drawing/2014/main" id="{00000000-0008-0000-1300-000095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567"/>
            <a:ext cx="15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0" name="Freeform 255">
            <a:extLst>
              <a:ext uri="{FF2B5EF4-FFF2-40B4-BE49-F238E27FC236}">
                <a16:creationId xmlns:a16="http://schemas.microsoft.com/office/drawing/2014/main" id="{00000000-0008-0000-1300-000096000000}"/>
              </a:ext>
            </a:extLst>
          </xdr:cNvPr>
          <xdr:cNvSpPr>
            <a:spLocks/>
          </xdr:cNvSpPr>
        </xdr:nvSpPr>
        <xdr:spPr bwMode="auto">
          <a:xfrm>
            <a:off x="948" y="2394"/>
            <a:ext cx="9" cy="18"/>
          </a:xfrm>
          <a:custGeom>
            <a:avLst/>
            <a:gdLst>
              <a:gd name="T0" fmla="*/ 0 w 10"/>
              <a:gd name="T1" fmla="*/ 2147483647 h 14"/>
              <a:gd name="T2" fmla="*/ 0 w 10"/>
              <a:gd name="T3" fmla="*/ 2147483647 h 14"/>
              <a:gd name="T4" fmla="*/ 2147483647 w 10"/>
              <a:gd name="T5" fmla="*/ 2147483647 h 14"/>
              <a:gd name="T6" fmla="*/ 2147483647 w 10"/>
              <a:gd name="T7" fmla="*/ 0 h 14"/>
              <a:gd name="T8" fmla="*/ 2147483647 w 10"/>
              <a:gd name="T9" fmla="*/ 2147483647 h 14"/>
              <a:gd name="T10" fmla="*/ 2147483647 w 10"/>
              <a:gd name="T11" fmla="*/ 2147483647 h 14"/>
              <a:gd name="T12" fmla="*/ 2147483647 w 10"/>
              <a:gd name="T13" fmla="*/ 2147483647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0"/>
              <a:gd name="T22" fmla="*/ 0 h 14"/>
              <a:gd name="T23" fmla="*/ 10 w 10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0" h="14">
                <a:moveTo>
                  <a:pt x="0" y="14"/>
                </a:moveTo>
                <a:cubicBezTo>
                  <a:pt x="0" y="13"/>
                  <a:pt x="0" y="9"/>
                  <a:pt x="0" y="7"/>
                </a:cubicBezTo>
                <a:cubicBezTo>
                  <a:pt x="0" y="5"/>
                  <a:pt x="0" y="4"/>
                  <a:pt x="1" y="3"/>
                </a:cubicBezTo>
                <a:cubicBezTo>
                  <a:pt x="2" y="2"/>
                  <a:pt x="4" y="0"/>
                  <a:pt x="5" y="0"/>
                </a:cubicBezTo>
                <a:cubicBezTo>
                  <a:pt x="6" y="0"/>
                  <a:pt x="8" y="2"/>
                  <a:pt x="9" y="3"/>
                </a:cubicBezTo>
                <a:cubicBezTo>
                  <a:pt x="10" y="4"/>
                  <a:pt x="10" y="5"/>
                  <a:pt x="10" y="7"/>
                </a:cubicBezTo>
                <a:cubicBezTo>
                  <a:pt x="10" y="9"/>
                  <a:pt x="10" y="13"/>
                  <a:pt x="10" y="14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51" name="Line 386">
            <a:extLst>
              <a:ext uri="{FF2B5EF4-FFF2-40B4-BE49-F238E27FC236}">
                <a16:creationId xmlns:a16="http://schemas.microsoft.com/office/drawing/2014/main" id="{00000000-0008-0000-1300-000097000000}"/>
              </a:ext>
            </a:extLst>
          </xdr:cNvPr>
          <xdr:cNvSpPr>
            <a:spLocks noChangeShapeType="1"/>
          </xdr:cNvSpPr>
        </xdr:nvSpPr>
        <xdr:spPr bwMode="auto">
          <a:xfrm>
            <a:off x="948" y="2412"/>
            <a:ext cx="0" cy="15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419570</xdr:colOff>
      <xdr:row>10</xdr:row>
      <xdr:rowOff>67239</xdr:rowOff>
    </xdr:from>
    <xdr:to>
      <xdr:col>7</xdr:col>
      <xdr:colOff>419570</xdr:colOff>
      <xdr:row>11</xdr:row>
      <xdr:rowOff>112507</xdr:rowOff>
    </xdr:to>
    <xdr:sp macro="" textlink="">
      <xdr:nvSpPr>
        <xdr:cNvPr id="159" name="Line 307">
          <a:extLst>
            <a:ext uri="{FF2B5EF4-FFF2-40B4-BE49-F238E27FC236}">
              <a16:creationId xmlns:a16="http://schemas.microsoft.com/office/drawing/2014/main" id="{00000000-0008-0000-1300-00009F000000}"/>
            </a:ext>
          </a:extLst>
        </xdr:cNvPr>
        <xdr:cNvSpPr>
          <a:spLocks noChangeShapeType="1"/>
        </xdr:cNvSpPr>
      </xdr:nvSpPr>
      <xdr:spPr bwMode="auto">
        <a:xfrm>
          <a:off x="4686770" y="2829489"/>
          <a:ext cx="0" cy="3214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7</xdr:col>
      <xdr:colOff>358587</xdr:colOff>
      <xdr:row>10</xdr:row>
      <xdr:rowOff>183469</xdr:rowOff>
    </xdr:from>
    <xdr:to>
      <xdr:col>8</xdr:col>
      <xdr:colOff>10989</xdr:colOff>
      <xdr:row>10</xdr:row>
      <xdr:rowOff>306962</xdr:rowOff>
    </xdr:to>
    <xdr:sp macro="" textlink="">
      <xdr:nvSpPr>
        <xdr:cNvPr id="160" name="Line 310">
          <a:extLst>
            <a:ext uri="{FF2B5EF4-FFF2-40B4-BE49-F238E27FC236}">
              <a16:creationId xmlns:a16="http://schemas.microsoft.com/office/drawing/2014/main" id="{00000000-0008-0000-1300-0000A0000000}"/>
            </a:ext>
          </a:extLst>
        </xdr:cNvPr>
        <xdr:cNvSpPr>
          <a:spLocks noChangeShapeType="1"/>
        </xdr:cNvSpPr>
      </xdr:nvSpPr>
      <xdr:spPr bwMode="auto">
        <a:xfrm flipV="1">
          <a:off x="4625787" y="2945719"/>
          <a:ext cx="262002" cy="949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14</xdr:col>
      <xdr:colOff>318719</xdr:colOff>
      <xdr:row>10</xdr:row>
      <xdr:rowOff>78446</xdr:rowOff>
    </xdr:from>
    <xdr:to>
      <xdr:col>14</xdr:col>
      <xdr:colOff>318719</xdr:colOff>
      <xdr:row>11</xdr:row>
      <xdr:rowOff>123714</xdr:rowOff>
    </xdr:to>
    <xdr:sp macro="" textlink="">
      <xdr:nvSpPr>
        <xdr:cNvPr id="161" name="Line 307">
          <a:extLst>
            <a:ext uri="{FF2B5EF4-FFF2-40B4-BE49-F238E27FC236}">
              <a16:creationId xmlns:a16="http://schemas.microsoft.com/office/drawing/2014/main" id="{00000000-0008-0000-1300-0000A1000000}"/>
            </a:ext>
          </a:extLst>
        </xdr:cNvPr>
        <xdr:cNvSpPr>
          <a:spLocks noChangeShapeType="1"/>
        </xdr:cNvSpPr>
      </xdr:nvSpPr>
      <xdr:spPr bwMode="auto">
        <a:xfrm>
          <a:off x="8853119" y="2840696"/>
          <a:ext cx="0" cy="3214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14</xdr:col>
      <xdr:colOff>257736</xdr:colOff>
      <xdr:row>10</xdr:row>
      <xdr:rowOff>194676</xdr:rowOff>
    </xdr:from>
    <xdr:to>
      <xdr:col>14</xdr:col>
      <xdr:colOff>380785</xdr:colOff>
      <xdr:row>11</xdr:row>
      <xdr:rowOff>4404</xdr:rowOff>
    </xdr:to>
    <xdr:sp macro="" textlink="">
      <xdr:nvSpPr>
        <xdr:cNvPr id="162" name="Line 310">
          <a:extLst>
            <a:ext uri="{FF2B5EF4-FFF2-40B4-BE49-F238E27FC236}">
              <a16:creationId xmlns:a16="http://schemas.microsoft.com/office/drawing/2014/main" id="{00000000-0008-0000-1300-0000A2000000}"/>
            </a:ext>
          </a:extLst>
        </xdr:cNvPr>
        <xdr:cNvSpPr>
          <a:spLocks noChangeShapeType="1"/>
        </xdr:cNvSpPr>
      </xdr:nvSpPr>
      <xdr:spPr bwMode="auto">
        <a:xfrm flipV="1">
          <a:off x="8792136" y="2956926"/>
          <a:ext cx="123049" cy="8595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502228</xdr:colOff>
      <xdr:row>9</xdr:row>
      <xdr:rowOff>273600</xdr:rowOff>
    </xdr:from>
    <xdr:to>
      <xdr:col>7</xdr:col>
      <xdr:colOff>294409</xdr:colOff>
      <xdr:row>10</xdr:row>
      <xdr:rowOff>294408</xdr:rowOff>
    </xdr:to>
    <xdr:sp macro="" textlink="">
      <xdr:nvSpPr>
        <xdr:cNvPr id="163" name="Text Box 197">
          <a:extLst>
            <a:ext uri="{FF2B5EF4-FFF2-40B4-BE49-F238E27FC236}">
              <a16:creationId xmlns:a16="http://schemas.microsoft.com/office/drawing/2014/main" id="{00000000-0008-0000-1300-0000A3000000}"/>
            </a:ext>
          </a:extLst>
        </xdr:cNvPr>
        <xdr:cNvSpPr txBox="1">
          <a:spLocks noChangeArrowheads="1"/>
        </xdr:cNvSpPr>
      </xdr:nvSpPr>
      <xdr:spPr bwMode="auto">
        <a:xfrm>
          <a:off x="5074228" y="3079145"/>
          <a:ext cx="1212272" cy="3325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1.50 </a:t>
          </a: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  ม.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14</xdr:col>
      <xdr:colOff>432954</xdr:colOff>
      <xdr:row>9</xdr:row>
      <xdr:rowOff>283202</xdr:rowOff>
    </xdr:from>
    <xdr:to>
      <xdr:col>16</xdr:col>
      <xdr:colOff>277090</xdr:colOff>
      <xdr:row>10</xdr:row>
      <xdr:rowOff>311726</xdr:rowOff>
    </xdr:to>
    <xdr:sp macro="" textlink="">
      <xdr:nvSpPr>
        <xdr:cNvPr id="164" name="Text Box 197">
          <a:extLst>
            <a:ext uri="{FF2B5EF4-FFF2-40B4-BE49-F238E27FC236}">
              <a16:creationId xmlns:a16="http://schemas.microsoft.com/office/drawing/2014/main" id="{00000000-0008-0000-1300-0000A4000000}"/>
            </a:ext>
          </a:extLst>
        </xdr:cNvPr>
        <xdr:cNvSpPr txBox="1">
          <a:spLocks noChangeArrowheads="1"/>
        </xdr:cNvSpPr>
      </xdr:nvSpPr>
      <xdr:spPr bwMode="auto">
        <a:xfrm>
          <a:off x="11984181" y="3088747"/>
          <a:ext cx="1316182" cy="34025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1.50 </a:t>
          </a: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  ม.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6</xdr:col>
      <xdr:colOff>134470</xdr:colOff>
      <xdr:row>8</xdr:row>
      <xdr:rowOff>179293</xdr:rowOff>
    </xdr:from>
    <xdr:to>
      <xdr:col>17</xdr:col>
      <xdr:colOff>208615</xdr:colOff>
      <xdr:row>8</xdr:row>
      <xdr:rowOff>179293</xdr:rowOff>
    </xdr:to>
    <xdr:sp macro="" textlink="">
      <xdr:nvSpPr>
        <xdr:cNvPr id="165" name="Line 125">
          <a:extLst>
            <a:ext uri="{FF2B5EF4-FFF2-40B4-BE49-F238E27FC236}">
              <a16:creationId xmlns:a16="http://schemas.microsoft.com/office/drawing/2014/main" id="{00000000-0008-0000-1300-0000A5000000}"/>
            </a:ext>
          </a:extLst>
        </xdr:cNvPr>
        <xdr:cNvSpPr>
          <a:spLocks noChangeShapeType="1"/>
        </xdr:cNvSpPr>
      </xdr:nvSpPr>
      <xdr:spPr bwMode="auto">
        <a:xfrm flipV="1">
          <a:off x="3792070" y="2389093"/>
          <a:ext cx="677974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6</xdr:col>
      <xdr:colOff>280147</xdr:colOff>
      <xdr:row>8</xdr:row>
      <xdr:rowOff>112059</xdr:rowOff>
    </xdr:from>
    <xdr:to>
      <xdr:col>6</xdr:col>
      <xdr:colOff>470267</xdr:colOff>
      <xdr:row>8</xdr:row>
      <xdr:rowOff>235885</xdr:rowOff>
    </xdr:to>
    <xdr:sp macro="" textlink="">
      <xdr:nvSpPr>
        <xdr:cNvPr id="166" name="Line 126">
          <a:extLst>
            <a:ext uri="{FF2B5EF4-FFF2-40B4-BE49-F238E27FC236}">
              <a16:creationId xmlns:a16="http://schemas.microsoft.com/office/drawing/2014/main" id="{00000000-0008-0000-1300-0000A6000000}"/>
            </a:ext>
          </a:extLst>
        </xdr:cNvPr>
        <xdr:cNvSpPr>
          <a:spLocks noChangeShapeType="1"/>
        </xdr:cNvSpPr>
      </xdr:nvSpPr>
      <xdr:spPr bwMode="auto">
        <a:xfrm flipV="1">
          <a:off x="3937747" y="2321859"/>
          <a:ext cx="190120" cy="1238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16</xdr:col>
      <xdr:colOff>320488</xdr:colOff>
      <xdr:row>8</xdr:row>
      <xdr:rowOff>107577</xdr:rowOff>
    </xdr:from>
    <xdr:to>
      <xdr:col>16</xdr:col>
      <xdr:colOff>510608</xdr:colOff>
      <xdr:row>8</xdr:row>
      <xdr:rowOff>231403</xdr:rowOff>
    </xdr:to>
    <xdr:sp macro="" textlink="">
      <xdr:nvSpPr>
        <xdr:cNvPr id="167" name="Line 126">
          <a:extLst>
            <a:ext uri="{FF2B5EF4-FFF2-40B4-BE49-F238E27FC236}">
              <a16:creationId xmlns:a16="http://schemas.microsoft.com/office/drawing/2014/main" id="{00000000-0008-0000-1300-0000A7000000}"/>
            </a:ext>
          </a:extLst>
        </xdr:cNvPr>
        <xdr:cNvSpPr>
          <a:spLocks noChangeShapeType="1"/>
        </xdr:cNvSpPr>
      </xdr:nvSpPr>
      <xdr:spPr bwMode="auto">
        <a:xfrm flipV="1">
          <a:off x="10074088" y="2317377"/>
          <a:ext cx="190120" cy="1238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10</xdr:col>
      <xdr:colOff>549087</xdr:colOff>
      <xdr:row>7</xdr:row>
      <xdr:rowOff>154004</xdr:rowOff>
    </xdr:from>
    <xdr:to>
      <xdr:col>11</xdr:col>
      <xdr:colOff>212910</xdr:colOff>
      <xdr:row>8</xdr:row>
      <xdr:rowOff>136902</xdr:rowOff>
    </xdr:to>
    <xdr:sp macro="" textlink="">
      <xdr:nvSpPr>
        <xdr:cNvPr id="168" name="Text Box 197">
          <a:extLst>
            <a:ext uri="{FF2B5EF4-FFF2-40B4-BE49-F238E27FC236}">
              <a16:creationId xmlns:a16="http://schemas.microsoft.com/office/drawing/2014/main" id="{00000000-0008-0000-1300-0000A8000000}"/>
            </a:ext>
          </a:extLst>
        </xdr:cNvPr>
        <xdr:cNvSpPr txBox="1">
          <a:spLocks noChangeArrowheads="1"/>
        </xdr:cNvSpPr>
      </xdr:nvSpPr>
      <xdr:spPr bwMode="auto">
        <a:xfrm>
          <a:off x="8348381" y="2350357"/>
          <a:ext cx="1411941" cy="29666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9.00</a:t>
          </a:r>
          <a:r>
            <a:rPr kumimoji="0" lang="th-TH" sz="16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TH SarabunPSK" pitchFamily="34" charset="-34"/>
              <a:cs typeface="TH SarabunPSK" pitchFamily="34" charset="-34"/>
            </a:rPr>
            <a:t>  ม.</a:t>
          </a:r>
          <a:endParaRPr kumimoji="0" lang="en-US" sz="16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6</xdr:col>
      <xdr:colOff>473182</xdr:colOff>
      <xdr:row>13</xdr:row>
      <xdr:rowOff>235319</xdr:rowOff>
    </xdr:from>
    <xdr:to>
      <xdr:col>7</xdr:col>
      <xdr:colOff>454035</xdr:colOff>
      <xdr:row>21</xdr:row>
      <xdr:rowOff>190500</xdr:rowOff>
    </xdr:to>
    <xdr:grpSp>
      <xdr:nvGrpSpPr>
        <xdr:cNvPr id="184" name="กลุ่ม 183">
          <a:extLst>
            <a:ext uri="{FF2B5EF4-FFF2-40B4-BE49-F238E27FC236}">
              <a16:creationId xmlns:a16="http://schemas.microsoft.com/office/drawing/2014/main" id="{00000000-0008-0000-1300-0000B8000000}"/>
            </a:ext>
          </a:extLst>
        </xdr:cNvPr>
        <xdr:cNvGrpSpPr/>
      </xdr:nvGrpSpPr>
      <xdr:grpSpPr>
        <a:xfrm>
          <a:off x="5045182" y="4303855"/>
          <a:ext cx="1395996" cy="2458895"/>
          <a:chOff x="5056388" y="4314260"/>
          <a:chExt cx="1404000" cy="2465299"/>
        </a:xfrm>
      </xdr:grpSpPr>
      <xdr:sp macro="" textlink="">
        <xdr:nvSpPr>
          <xdr:cNvPr id="123" name="Line 250">
            <a:extLst>
              <a:ext uri="{FF2B5EF4-FFF2-40B4-BE49-F238E27FC236}">
                <a16:creationId xmlns:a16="http://schemas.microsoft.com/office/drawing/2014/main" id="{00000000-0008-0000-1300-00007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056388" y="4314260"/>
            <a:ext cx="0" cy="244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24" name="Line 586">
            <a:extLst>
              <a:ext uri="{FF2B5EF4-FFF2-40B4-BE49-F238E27FC236}">
                <a16:creationId xmlns:a16="http://schemas.microsoft.com/office/drawing/2014/main" id="{00000000-0008-0000-1300-00007C000000}"/>
              </a:ext>
            </a:extLst>
          </xdr:cNvPr>
          <xdr:cNvSpPr>
            <a:spLocks noChangeShapeType="1"/>
          </xdr:cNvSpPr>
        </xdr:nvSpPr>
        <xdr:spPr bwMode="auto">
          <a:xfrm>
            <a:off x="5056388" y="6779559"/>
            <a:ext cx="14040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9" name="Line 250">
            <a:extLst>
              <a:ext uri="{FF2B5EF4-FFF2-40B4-BE49-F238E27FC236}">
                <a16:creationId xmlns:a16="http://schemas.microsoft.com/office/drawing/2014/main" id="{00000000-0008-0000-1300-0000A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277966" y="4504764"/>
            <a:ext cx="0" cy="226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70" name="Line 250">
            <a:extLst>
              <a:ext uri="{FF2B5EF4-FFF2-40B4-BE49-F238E27FC236}">
                <a16:creationId xmlns:a16="http://schemas.microsoft.com/office/drawing/2014/main" id="{00000000-0008-0000-1300-0000A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513292" y="4829738"/>
            <a:ext cx="0" cy="1944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  <xdr:twoCellAnchor>
    <xdr:from>
      <xdr:col>11</xdr:col>
      <xdr:colOff>627529</xdr:colOff>
      <xdr:row>13</xdr:row>
      <xdr:rowOff>145677</xdr:rowOff>
    </xdr:from>
    <xdr:to>
      <xdr:col>13</xdr:col>
      <xdr:colOff>653206</xdr:colOff>
      <xdr:row>21</xdr:row>
      <xdr:rowOff>190500</xdr:rowOff>
    </xdr:to>
    <xdr:grpSp>
      <xdr:nvGrpSpPr>
        <xdr:cNvPr id="185" name="กลุ่ม 184">
          <a:extLst>
            <a:ext uri="{FF2B5EF4-FFF2-40B4-BE49-F238E27FC236}">
              <a16:creationId xmlns:a16="http://schemas.microsoft.com/office/drawing/2014/main" id="{00000000-0008-0000-1300-0000B9000000}"/>
            </a:ext>
          </a:extLst>
        </xdr:cNvPr>
        <xdr:cNvGrpSpPr/>
      </xdr:nvGrpSpPr>
      <xdr:grpSpPr>
        <a:xfrm>
          <a:off x="10138922" y="4214213"/>
          <a:ext cx="1399998" cy="2548537"/>
          <a:chOff x="5056388" y="4314260"/>
          <a:chExt cx="1404000" cy="2465299"/>
        </a:xfrm>
      </xdr:grpSpPr>
      <xdr:sp macro="" textlink="">
        <xdr:nvSpPr>
          <xdr:cNvPr id="186" name="Line 250">
            <a:extLst>
              <a:ext uri="{FF2B5EF4-FFF2-40B4-BE49-F238E27FC236}">
                <a16:creationId xmlns:a16="http://schemas.microsoft.com/office/drawing/2014/main" id="{00000000-0008-0000-1300-0000BA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056388" y="4314260"/>
            <a:ext cx="0" cy="244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87" name="Line 586">
            <a:extLst>
              <a:ext uri="{FF2B5EF4-FFF2-40B4-BE49-F238E27FC236}">
                <a16:creationId xmlns:a16="http://schemas.microsoft.com/office/drawing/2014/main" id="{00000000-0008-0000-1300-0000BB000000}"/>
              </a:ext>
            </a:extLst>
          </xdr:cNvPr>
          <xdr:cNvSpPr>
            <a:spLocks noChangeShapeType="1"/>
          </xdr:cNvSpPr>
        </xdr:nvSpPr>
        <xdr:spPr bwMode="auto">
          <a:xfrm>
            <a:off x="5056388" y="6779559"/>
            <a:ext cx="14040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8" name="Line 250">
            <a:extLst>
              <a:ext uri="{FF2B5EF4-FFF2-40B4-BE49-F238E27FC236}">
                <a16:creationId xmlns:a16="http://schemas.microsoft.com/office/drawing/2014/main" id="{00000000-0008-0000-1300-0000B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277966" y="4504764"/>
            <a:ext cx="0" cy="2268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  <xdr:sp macro="" textlink="">
        <xdr:nvSpPr>
          <xdr:cNvPr id="189" name="Line 250">
            <a:extLst>
              <a:ext uri="{FF2B5EF4-FFF2-40B4-BE49-F238E27FC236}">
                <a16:creationId xmlns:a16="http://schemas.microsoft.com/office/drawing/2014/main" id="{00000000-0008-0000-1300-0000B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513292" y="4829738"/>
            <a:ext cx="0" cy="194400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 type="none" w="med" len="med"/>
            <a:tailEnd type="triangle" w="med" len="med"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6;&#3609;&#3636;&#3607;\&#3650;&#3611;&#3619;&#3617;&#3649;&#3585;&#3619;&#3617;&#3611;&#3619;&#3632;&#3617;&#3634;&#3603;&#3619;&#3634;&#3588;&#3634;&#3619;&#3623;&#3617;\eroad%20cc&#3594;&#3640;&#3617;&#3594;&#3609;&#3650;&#3619;&#3591;&#3590;&#3656;&#3634;&#3626;&#3633;&#3605;&#3623;&#366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DRR16\1.&#3591;&#3634;&#3609;(&#3629;&#3634;&#3605;&#3636;&#3618;&#3634;)\4.&#3611;&#3619;&#3632;&#3617;&#3634;&#3603;&#3619;&#3634;&#3588;&#3634;\2.&#3611;&#3619;&#3632;&#3617;&#3634;&#3603;&#3585;&#3634;&#3619;%202557\4.&#3610;&#3641;&#3619;&#3603;&#3632;&#3607;&#3634;&#3591;&#3626;&#3634;&#3618;&#3627;&#3621;&#3633;&#3585;%2058\&#3606;&#3609;&#3609;&#3648;&#3594;&#3636;&#3591;&#3621;&#3634;&#3604;&#3626;&#3632;&#3614;&#3634;&#3609;\_&#3611;&#3619;&#3632;&#3617;&#3634;&#3603;&#3619;&#3634;&#3588;&#3634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Microsoft\Excel\&#3606;&#3609;&#3609;&#3648;&#3594;&#3636;&#3591;&#3621;&#3634;&#3604;&#3626;&#3632;&#3614;&#3634;&#3609;\_&#3611;&#3619;&#3632;&#3617;&#3634;&#3603;&#3619;&#3634;&#3588;&#3634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6;&#3656;&#3623;&#3609;&#3610;&#3641;&#3619;&#3603;&#3632;%20&#3591;&#3634;&#3609;&#3623;&#3636;&#3594;&#3634;&#3585;&#3634;&#3619;&#3631;\&#3610;&#3633;&#3609;&#3607;&#3638;&#3585;&#3605;&#3656;&#3629;&#3619;&#3629;&#3591;_final\&#3610;&#3635;&#3619;&#3640;&#3591;&#3631;%20(&#3648;&#3614;&#3636;&#3656;&#3617;&#3648;&#3605;&#3636;&#3617;)\54_&#3609;&#3617;.3002%20&#3649;&#3585;&#3657;&#3652;&#3586;&#3649;&#3610;&#361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4.&#3591;&#3634;&#3609;%20&#3629;&#3610;&#3605;.&#3651;&#3627;&#3617;&#3656;&#3609;&#3634;&#3648;&#3614;&#3637;&#3618;&#3591;%202564\3.&#3650;&#3588;&#3619;&#3591;&#3585;&#3634;&#3619;&#3648;&#3626;&#3609;&#3629;&#3586;&#3629;&#3591;&#3610;&#3611;&#3637;%2064%20(&#3607;&#3656;&#3634;&#3609;%20&#3626;&#3592;.&#3629;&#3604;&#3640;&#3621;)\1.&#3585;&#3656;&#3629;&#3626;&#3619;&#3657;&#3634;&#3591;&#3606;&#3609;&#3609;&#3649;&#3629;&#3626;&#3615;&#3633;&#3621;&#3607;&#3660;&#3605;&#3636;&#3585;%20Recycling%20225%2009%20&#3592;&#3634;&#3585;&#3627;&#3609;&#3657;&#3634;&#3650;&#3619;&#3591;&#3648;&#3619;&#3637;&#3618;&#3609;&#3650;&#3609;&#3609;&#3592;&#3633;&#3609;&#3607;&#3638;&#3585;&#3652;&#3611;&#3627;&#3609;&#3657;&#3634;&#3623;&#3633;&#3604;%20%204%206%206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DRR16\1.&#3591;&#3634;&#3609;(&#3629;&#3634;&#3605;&#3636;&#3618;&#3634;)\4.&#3611;&#3619;&#3632;&#3617;&#3634;&#3603;&#3619;&#3634;&#3588;&#3634;\3.&#3611;&#3619;&#3632;&#3617;&#3634;&#3603;&#3585;&#3634;&#3619;%202558\6.&#3610;&#3635;&#3619;&#3640;&#3591;&#3607;&#3634;&#3591;&#3626;&#3634;&#3618;&#3627;&#3621;&#3633;&#3585;%202559\3.&#3626;&#3634;&#3618;&#3627;&#3621;&#3633;&#3585;%20&#3585;&#3626;.4076%20(&#3619;&#3634;&#3591;&#3611;&#3636;&#3604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DRR16\1.&#3591;&#3634;&#3609;(&#3629;&#3634;&#3605;&#3636;&#3618;&#3634;)\4.&#3611;&#3619;&#3632;&#3617;&#3634;&#3603;&#3619;&#3634;&#3588;&#3634;\1.&#3611;&#3619;&#3632;&#3617;&#3634;&#3603;&#3585;&#3634;&#3619;%202556\&#3629;&#3639;&#3656;&#3609;&#3654;\Recycling%20&#3591;&#3634;&#3609;&#3652;&#3615;&#3615;&#3657;&#3634;%20&#3619;&#3634;&#3591;%20&#3586;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DRR16\1.&#3591;&#3634;&#3609;(&#3629;&#3634;&#3605;&#3636;&#3618;&#3634;)\4.&#3611;&#3619;&#3632;&#3617;&#3634;&#3603;&#3619;&#3634;&#3588;&#3634;\2.&#3611;&#3619;&#3632;&#3617;&#3634;&#3603;&#3585;&#3634;&#3619;%202557\4.&#3610;&#3641;&#3619;&#3603;&#3632;&#3607;&#3634;&#3591;&#3626;&#3634;&#3618;&#3627;&#3621;&#3633;&#3585;%2058\1.&#3626;&#3634;&#3618;&#3627;&#3621;&#3633;&#3585;%20&#3585;&#3626;.2016%20&#3649;&#3618;&#3585;%20&#3607;&#3621;.12-&#3610;.&#3604;&#3591;&#3648;&#3617;&#3639;&#3629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ปร.5ทางใส่เอง"/>
      <sheetName val="ปร.5สะพาน"/>
      <sheetName val="ปร.5"/>
      <sheetName val="ปร.4ใส่เอง"/>
      <sheetName val="ปร.4"/>
      <sheetName val="แหล่ง"/>
      <sheetName val="ข้อมูลราคาวัสดุ"/>
      <sheetName val="ข้อมูลขนส่ง"/>
      <sheetName val="ค่าเสื่อม1"/>
      <sheetName val="ค่าเสื่อมราคา"/>
      <sheetName val="ค่างานต้นทุน"/>
      <sheetName val="คำนวณ"/>
      <sheetName val="คำนวณผิว"/>
      <sheetName val="ราคากลาง"/>
      <sheetName val="ROAD_F_factor"/>
      <sheetName val="ค่าขนส่ง"/>
      <sheetName val="ค่าขนส่งด้วยรถพ่วง"/>
      <sheetName val="รถพ่วง"/>
      <sheetName val="ค่าขนส่งด้วยหกล้อ"/>
      <sheetName val="คิดค่ากำแพงปากท่อ"/>
      <sheetName val="หักลดเงินค่าขนส่ง"/>
      <sheetName val="สรุปงานดิน"/>
      <sheetName val="งานดิน"/>
      <sheetName val="ทางแยก"/>
      <sheetName val="Wi"/>
      <sheetName val="ป้าย"/>
      <sheetName val="หลักโค้ง"/>
      <sheetName val="gurad"/>
      <sheetName val="rc"/>
      <sheetName val="databo"/>
      <sheetName val="BEST."/>
      <sheetName val="ปร.4boxใส่เอง"/>
      <sheetName val="ปร.4box"/>
      <sheetName val="Bnof"/>
      <sheetName val="BCOST"/>
      <sheetName val="แทรก"/>
      <sheetName val="ปก (2)"/>
      <sheetName val="ปก"/>
      <sheetName val="สะพาน"/>
      <sheetName val="ปร.4สะพานใส่เอง"/>
      <sheetName val="EST"/>
      <sheetName val="SOILUTIONB"/>
      <sheetName val="EST.2"/>
      <sheetName val="FORMB"/>
      <sheetName val="INFOB"/>
      <sheetName val="COSTB"/>
      <sheetName val="E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1">
          <cell r="H91">
            <v>13.93</v>
          </cell>
        </row>
        <row r="95">
          <cell r="H95">
            <v>6.17</v>
          </cell>
        </row>
        <row r="113">
          <cell r="H113">
            <v>49.49</v>
          </cell>
        </row>
        <row r="142">
          <cell r="H142">
            <v>540</v>
          </cell>
        </row>
        <row r="150">
          <cell r="H150">
            <v>780</v>
          </cell>
        </row>
        <row r="158">
          <cell r="H158">
            <v>1230</v>
          </cell>
        </row>
        <row r="166">
          <cell r="H166">
            <v>1830</v>
          </cell>
        </row>
        <row r="174">
          <cell r="H174">
            <v>2410</v>
          </cell>
        </row>
        <row r="182">
          <cell r="H182">
            <v>3680</v>
          </cell>
        </row>
        <row r="238">
          <cell r="H238">
            <v>1160</v>
          </cell>
        </row>
        <row r="243">
          <cell r="H243">
            <v>790</v>
          </cell>
        </row>
        <row r="248">
          <cell r="H248">
            <v>880</v>
          </cell>
        </row>
        <row r="258">
          <cell r="H258">
            <v>1540</v>
          </cell>
        </row>
        <row r="284">
          <cell r="H284">
            <v>1520</v>
          </cell>
        </row>
        <row r="289">
          <cell r="H289">
            <v>1000</v>
          </cell>
        </row>
        <row r="294">
          <cell r="H294">
            <v>4310</v>
          </cell>
        </row>
        <row r="302">
          <cell r="H302">
            <v>2070</v>
          </cell>
        </row>
        <row r="307">
          <cell r="H307">
            <v>1650</v>
          </cell>
        </row>
        <row r="312">
          <cell r="H312">
            <v>3050</v>
          </cell>
        </row>
        <row r="437">
          <cell r="H437">
            <v>280.67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1"/>
      <sheetName val="เมนู"/>
      <sheetName val="ข้อมูลโครงการ"/>
      <sheetName val="โครงการ"/>
      <sheetName val="ITEM1"/>
      <sheetName val="ITEM2"/>
      <sheetName val="ITEM3"/>
      <sheetName val="ปริมาณงานสะพาน 1"/>
      <sheetName val="ปริมาณงานสะพาน 2"/>
      <sheetName val="ปริมาณงานสะพาน 3"/>
      <sheetName val="ระยะขนส่งวัสดุ"/>
      <sheetName val="ราคาวัสดุ1"/>
      <sheetName val="แหล่งวัสดุ"/>
      <sheetName val="S0"/>
      <sheetName val="S2"/>
      <sheetName val="S3"/>
      <sheetName val="ราคาวัสดุ2"/>
      <sheetName val="APPROACH SLAB"/>
      <sheetName val="กรอกราคาวัสดุ"/>
      <sheetName val="ชนิดป้าย"/>
      <sheetName val="กรอกชนิดและจำนวนป้าย"/>
      <sheetName val="กรอกป้ายจราจร"/>
      <sheetName val="ราคาป้าย1"/>
      <sheetName val="ราคาป้าย2"/>
      <sheetName val="ราคาป้ายจราจร"/>
      <sheetName val="คำนวน3"/>
      <sheetName val="งานอำนวยความสะดวกขณะก่อสร้าง"/>
      <sheetName val="เลือกหมายเลขท่อลอดเหลี่ยม"/>
      <sheetName val="ปร4สะพาน"/>
      <sheetName val="ปร4ท่อเหลี่ยม3"/>
      <sheetName val="ปร4ท่อเหลี่ยม1"/>
      <sheetName val="คำนวน1"/>
      <sheetName val="ปร4ท่อเหลี่ยม2"/>
      <sheetName val="ปร4รางเปิด"/>
      <sheetName val="PL402"/>
      <sheetName val="ปร4ราง"/>
      <sheetName val="คำนวน2"/>
      <sheetName val="ปร5"/>
      <sheetName val="ปร4"/>
      <sheetName val="ปร.4 ไฟฟ้า"/>
      <sheetName val="ไฟฟ้าแสงสว่าง ราคาต่อหน่วย_1"/>
      <sheetName val="ค่างานต้นทุน"/>
      <sheetName val="ข้อมูลผิวจราจร"/>
      <sheetName val="ข้อกำหนดเพิ่มเติม"/>
      <sheetName val="CON1"/>
      <sheetName val="CON2"/>
      <sheetName val="ค่าเสื่อมราคา"/>
      <sheetName val="FACTOR F"/>
      <sheetName val="FACTOR F 2"/>
      <sheetName val="งานกำแพงปากท่อ"/>
      <sheetName val="ขนาด ท่อ"/>
      <sheetName val="Oil"/>
      <sheetName val="แบบรางเปิด"/>
      <sheetName val="_ประมาณราคา"/>
    </sheetNames>
    <sheetDataSet>
      <sheetData sheetId="0" refreshError="1"/>
      <sheetData sheetId="1">
        <row r="10">
          <cell r="S10">
            <v>1</v>
          </cell>
        </row>
      </sheetData>
      <sheetData sheetId="2">
        <row r="3">
          <cell r="Q3">
            <v>4.8179999999999996</v>
          </cell>
        </row>
      </sheetData>
      <sheetData sheetId="3">
        <row r="4">
          <cell r="B4" t="str">
            <v>สำนักทางหลวงชนบทที่16 (กาฬสินธุ์)</v>
          </cell>
        </row>
      </sheetData>
      <sheetData sheetId="4" refreshError="1"/>
      <sheetData sheetId="5">
        <row r="3">
          <cell r="G3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B5">
            <v>1</v>
          </cell>
        </row>
      </sheetData>
      <sheetData sheetId="14">
        <row r="2">
          <cell r="C2">
            <v>30.5</v>
          </cell>
        </row>
      </sheetData>
      <sheetData sheetId="15" refreshError="1"/>
      <sheetData sheetId="16" refreshError="1"/>
      <sheetData sheetId="17" refreshError="1"/>
      <sheetData sheetId="18">
        <row r="2">
          <cell r="E2" t="str">
            <v xml:space="preserve">สาย บ.ดอนม่วงพัฒนา 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8">
          <cell r="G38">
            <v>36517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>
        <row r="3">
          <cell r="B3">
            <v>100</v>
          </cell>
        </row>
      </sheetData>
      <sheetData sheetId="44" refreshError="1"/>
      <sheetData sheetId="45">
        <row r="3">
          <cell r="B3">
            <v>80</v>
          </cell>
        </row>
      </sheetData>
      <sheetData sheetId="46">
        <row r="7">
          <cell r="G7">
            <v>1.46</v>
          </cell>
        </row>
      </sheetData>
      <sheetData sheetId="47" refreshError="1"/>
      <sheetData sheetId="48" refreshError="1"/>
      <sheetData sheetId="49">
        <row r="66">
          <cell r="D66">
            <v>2.3705508881569224</v>
          </cell>
        </row>
      </sheetData>
      <sheetData sheetId="50">
        <row r="6">
          <cell r="D6">
            <v>0.4</v>
          </cell>
        </row>
      </sheetData>
      <sheetData sheetId="51">
        <row r="5">
          <cell r="B5">
            <v>1</v>
          </cell>
          <cell r="C5" t="str">
            <v>6.38</v>
          </cell>
          <cell r="D5">
            <v>8.93</v>
          </cell>
          <cell r="F5" t="str">
            <v>3.14</v>
          </cell>
          <cell r="G5">
            <v>4.4000000000000004</v>
          </cell>
        </row>
        <row r="6">
          <cell r="B6">
            <v>2</v>
          </cell>
          <cell r="C6" t="str">
            <v>8.03</v>
          </cell>
          <cell r="D6">
            <v>11.24</v>
          </cell>
          <cell r="F6" t="str">
            <v>4.34</v>
          </cell>
          <cell r="G6">
            <v>6.08</v>
          </cell>
        </row>
        <row r="7">
          <cell r="B7">
            <v>3</v>
          </cell>
          <cell r="C7" t="str">
            <v>9.67</v>
          </cell>
          <cell r="D7">
            <v>13.54</v>
          </cell>
          <cell r="F7" t="str">
            <v>5.53</v>
          </cell>
          <cell r="G7">
            <v>7.74</v>
          </cell>
        </row>
        <row r="8">
          <cell r="B8">
            <v>4</v>
          </cell>
          <cell r="C8" t="str">
            <v>11.32</v>
          </cell>
          <cell r="D8">
            <v>15.85</v>
          </cell>
          <cell r="F8" t="str">
            <v>6.73</v>
          </cell>
          <cell r="G8">
            <v>9.42</v>
          </cell>
        </row>
        <row r="9">
          <cell r="B9">
            <v>5</v>
          </cell>
          <cell r="C9" t="str">
            <v>12.97</v>
          </cell>
          <cell r="D9">
            <v>18.16</v>
          </cell>
          <cell r="F9" t="str">
            <v>7.93</v>
          </cell>
          <cell r="G9">
            <v>11.1</v>
          </cell>
        </row>
        <row r="10">
          <cell r="B10">
            <v>6</v>
          </cell>
          <cell r="C10" t="str">
            <v>14.61</v>
          </cell>
          <cell r="D10">
            <v>20.45</v>
          </cell>
          <cell r="F10" t="str">
            <v>9.12</v>
          </cell>
          <cell r="G10">
            <v>12.77</v>
          </cell>
        </row>
        <row r="11">
          <cell r="B11">
            <v>7</v>
          </cell>
          <cell r="C11" t="str">
            <v>16.26</v>
          </cell>
          <cell r="D11">
            <v>22.76</v>
          </cell>
          <cell r="F11" t="str">
            <v>10.32</v>
          </cell>
          <cell r="G11">
            <v>14.45</v>
          </cell>
        </row>
        <row r="12">
          <cell r="B12">
            <v>8</v>
          </cell>
          <cell r="C12" t="str">
            <v>18.09</v>
          </cell>
          <cell r="D12">
            <v>25.33</v>
          </cell>
          <cell r="F12" t="str">
            <v>11.52</v>
          </cell>
          <cell r="G12">
            <v>16.13</v>
          </cell>
        </row>
        <row r="13">
          <cell r="B13">
            <v>9</v>
          </cell>
          <cell r="C13" t="str">
            <v>20.23</v>
          </cell>
          <cell r="D13">
            <v>28.32</v>
          </cell>
          <cell r="F13" t="str">
            <v>12.71</v>
          </cell>
          <cell r="G13">
            <v>17.79</v>
          </cell>
        </row>
        <row r="14">
          <cell r="B14">
            <v>10</v>
          </cell>
          <cell r="C14" t="str">
            <v>22.37</v>
          </cell>
          <cell r="D14">
            <v>31.32</v>
          </cell>
          <cell r="F14" t="str">
            <v>13.91</v>
          </cell>
          <cell r="G14">
            <v>19.47</v>
          </cell>
        </row>
        <row r="15">
          <cell r="B15">
            <v>11</v>
          </cell>
          <cell r="C15" t="str">
            <v>24.51</v>
          </cell>
          <cell r="D15">
            <v>34.31</v>
          </cell>
          <cell r="F15" t="str">
            <v>15.11</v>
          </cell>
          <cell r="G15">
            <v>21.15</v>
          </cell>
        </row>
        <row r="16">
          <cell r="B16">
            <v>12</v>
          </cell>
          <cell r="C16" t="str">
            <v>26.66</v>
          </cell>
          <cell r="D16">
            <v>37.32</v>
          </cell>
          <cell r="F16" t="str">
            <v>16.3</v>
          </cell>
          <cell r="G16">
            <v>22.82</v>
          </cell>
        </row>
        <row r="17">
          <cell r="B17">
            <v>13</v>
          </cell>
          <cell r="C17" t="str">
            <v>28.8</v>
          </cell>
          <cell r="D17">
            <v>40.32</v>
          </cell>
          <cell r="F17" t="str">
            <v>17.5</v>
          </cell>
          <cell r="G17">
            <v>24.5</v>
          </cell>
        </row>
        <row r="18">
          <cell r="B18">
            <v>14</v>
          </cell>
          <cell r="C18" t="str">
            <v>30.94</v>
          </cell>
          <cell r="D18">
            <v>43.32</v>
          </cell>
          <cell r="F18" t="str">
            <v>18.7</v>
          </cell>
          <cell r="G18">
            <v>26.18</v>
          </cell>
        </row>
        <row r="19">
          <cell r="B19">
            <v>15</v>
          </cell>
          <cell r="C19" t="str">
            <v>33.08</v>
          </cell>
          <cell r="D19">
            <v>46.31</v>
          </cell>
          <cell r="F19" t="str">
            <v>19.93</v>
          </cell>
          <cell r="G19">
            <v>27.9</v>
          </cell>
        </row>
        <row r="20">
          <cell r="B20">
            <v>16</v>
          </cell>
          <cell r="C20" t="str">
            <v>35.23</v>
          </cell>
          <cell r="D20">
            <v>49.32</v>
          </cell>
          <cell r="F20" t="str">
            <v>21.23</v>
          </cell>
          <cell r="G20">
            <v>29.72</v>
          </cell>
        </row>
        <row r="21">
          <cell r="B21">
            <v>17</v>
          </cell>
          <cell r="C21" t="str">
            <v>37.37</v>
          </cell>
          <cell r="D21">
            <v>52.32</v>
          </cell>
          <cell r="F21" t="str">
            <v>22.53</v>
          </cell>
          <cell r="G21">
            <v>31.54</v>
          </cell>
        </row>
        <row r="22">
          <cell r="B22">
            <v>18</v>
          </cell>
          <cell r="C22" t="str">
            <v>39.51</v>
          </cell>
          <cell r="D22">
            <v>55.31</v>
          </cell>
          <cell r="F22" t="str">
            <v>23.84</v>
          </cell>
          <cell r="G22">
            <v>33.380000000000003</v>
          </cell>
        </row>
        <row r="23">
          <cell r="B23">
            <v>19</v>
          </cell>
          <cell r="C23" t="str">
            <v>41.66</v>
          </cell>
          <cell r="D23">
            <v>58.32</v>
          </cell>
          <cell r="F23" t="str">
            <v>25.14</v>
          </cell>
          <cell r="G23">
            <v>35.200000000000003</v>
          </cell>
        </row>
        <row r="24">
          <cell r="B24">
            <v>20</v>
          </cell>
          <cell r="C24" t="str">
            <v>43.8</v>
          </cell>
          <cell r="D24">
            <v>61.32</v>
          </cell>
          <cell r="F24" t="str">
            <v>26.44</v>
          </cell>
          <cell r="G24">
            <v>37.020000000000003</v>
          </cell>
        </row>
        <row r="25">
          <cell r="B25">
            <v>21</v>
          </cell>
          <cell r="C25" t="str">
            <v>45.94</v>
          </cell>
          <cell r="D25">
            <v>64.319999999999993</v>
          </cell>
          <cell r="F25" t="str">
            <v>27.75</v>
          </cell>
          <cell r="G25">
            <v>38.85</v>
          </cell>
        </row>
        <row r="26">
          <cell r="B26">
            <v>22</v>
          </cell>
          <cell r="C26" t="str">
            <v>48.09</v>
          </cell>
          <cell r="D26">
            <v>67.33</v>
          </cell>
          <cell r="F26" t="str">
            <v>29.05</v>
          </cell>
          <cell r="G26">
            <v>40.67</v>
          </cell>
        </row>
        <row r="27">
          <cell r="B27">
            <v>23</v>
          </cell>
          <cell r="C27" t="str">
            <v>50.22</v>
          </cell>
          <cell r="D27">
            <v>70.31</v>
          </cell>
          <cell r="F27" t="str">
            <v>30.35</v>
          </cell>
          <cell r="G27">
            <v>42.49</v>
          </cell>
        </row>
        <row r="28">
          <cell r="B28">
            <v>24</v>
          </cell>
          <cell r="C28" t="str">
            <v>52.37</v>
          </cell>
          <cell r="D28">
            <v>73.319999999999993</v>
          </cell>
          <cell r="F28" t="str">
            <v>31.65</v>
          </cell>
          <cell r="G28">
            <v>44.31</v>
          </cell>
        </row>
        <row r="29">
          <cell r="B29">
            <v>25</v>
          </cell>
          <cell r="C29" t="str">
            <v>54.52</v>
          </cell>
          <cell r="D29">
            <v>76.33</v>
          </cell>
          <cell r="F29" t="str">
            <v>32.96</v>
          </cell>
          <cell r="G29">
            <v>46.14</v>
          </cell>
        </row>
        <row r="30">
          <cell r="B30">
            <v>26</v>
          </cell>
          <cell r="C30" t="str">
            <v>56.66</v>
          </cell>
          <cell r="D30">
            <v>79.319999999999993</v>
          </cell>
          <cell r="F30" t="str">
            <v>34.26</v>
          </cell>
          <cell r="G30">
            <v>47.96</v>
          </cell>
        </row>
        <row r="31">
          <cell r="B31">
            <v>27</v>
          </cell>
          <cell r="C31" t="str">
            <v>58.8</v>
          </cell>
          <cell r="D31">
            <v>82.32</v>
          </cell>
          <cell r="F31" t="str">
            <v>35.56</v>
          </cell>
          <cell r="G31">
            <v>49.78</v>
          </cell>
        </row>
        <row r="32">
          <cell r="B32">
            <v>28</v>
          </cell>
          <cell r="C32" t="str">
            <v>60.95</v>
          </cell>
          <cell r="D32">
            <v>85.33</v>
          </cell>
          <cell r="F32" t="str">
            <v>36.87</v>
          </cell>
          <cell r="G32">
            <v>51.62</v>
          </cell>
        </row>
        <row r="33">
          <cell r="B33">
            <v>29</v>
          </cell>
          <cell r="C33" t="str">
            <v>63.08</v>
          </cell>
          <cell r="D33">
            <v>88.31</v>
          </cell>
          <cell r="F33" t="str">
            <v>38.17</v>
          </cell>
          <cell r="G33">
            <v>53.44</v>
          </cell>
        </row>
        <row r="34">
          <cell r="B34">
            <v>30</v>
          </cell>
          <cell r="C34" t="str">
            <v>65.23</v>
          </cell>
          <cell r="D34">
            <v>91.32</v>
          </cell>
          <cell r="F34" t="str">
            <v>39.47</v>
          </cell>
          <cell r="G34">
            <v>55.26</v>
          </cell>
        </row>
        <row r="35">
          <cell r="B35">
            <v>31</v>
          </cell>
          <cell r="C35" t="str">
            <v>67.36</v>
          </cell>
          <cell r="D35">
            <v>94.3</v>
          </cell>
          <cell r="F35" t="str">
            <v>40.77</v>
          </cell>
          <cell r="G35">
            <v>57.08</v>
          </cell>
        </row>
        <row r="36">
          <cell r="B36">
            <v>32</v>
          </cell>
          <cell r="C36" t="str">
            <v>69.52</v>
          </cell>
          <cell r="D36">
            <v>97.33</v>
          </cell>
          <cell r="F36" t="str">
            <v>42.08</v>
          </cell>
          <cell r="G36">
            <v>58.91</v>
          </cell>
        </row>
        <row r="37">
          <cell r="B37">
            <v>33</v>
          </cell>
          <cell r="C37" t="str">
            <v>71.66</v>
          </cell>
          <cell r="D37">
            <v>100.32</v>
          </cell>
          <cell r="F37" t="str">
            <v>43.38</v>
          </cell>
          <cell r="G37">
            <v>60.73</v>
          </cell>
        </row>
        <row r="38">
          <cell r="B38">
            <v>34</v>
          </cell>
          <cell r="C38" t="str">
            <v>73.8</v>
          </cell>
          <cell r="D38">
            <v>103.32</v>
          </cell>
          <cell r="F38" t="str">
            <v>44.68</v>
          </cell>
          <cell r="G38">
            <v>62.55</v>
          </cell>
        </row>
        <row r="39">
          <cell r="B39">
            <v>35</v>
          </cell>
          <cell r="C39" t="str">
            <v>75.94</v>
          </cell>
          <cell r="D39">
            <v>106.32</v>
          </cell>
          <cell r="F39" t="str">
            <v>45.98</v>
          </cell>
          <cell r="G39">
            <v>64.37</v>
          </cell>
        </row>
        <row r="40">
          <cell r="B40">
            <v>36</v>
          </cell>
          <cell r="C40" t="str">
            <v>78.08</v>
          </cell>
          <cell r="D40">
            <v>109.31</v>
          </cell>
          <cell r="F40" t="str">
            <v>47.29</v>
          </cell>
          <cell r="G40">
            <v>66.209999999999994</v>
          </cell>
        </row>
        <row r="41">
          <cell r="B41">
            <v>37</v>
          </cell>
          <cell r="C41" t="str">
            <v>80.23</v>
          </cell>
          <cell r="D41">
            <v>112.32</v>
          </cell>
          <cell r="F41" t="str">
            <v>48.59</v>
          </cell>
          <cell r="G41">
            <v>68.03</v>
          </cell>
        </row>
        <row r="42">
          <cell r="B42">
            <v>38</v>
          </cell>
          <cell r="C42" t="str">
            <v>82.38</v>
          </cell>
          <cell r="D42">
            <v>115.33</v>
          </cell>
          <cell r="F42" t="str">
            <v>49.89</v>
          </cell>
          <cell r="G42">
            <v>69.849999999999994</v>
          </cell>
        </row>
        <row r="43">
          <cell r="B43">
            <v>39</v>
          </cell>
          <cell r="C43" t="str">
            <v>84.52</v>
          </cell>
          <cell r="D43">
            <v>118.33</v>
          </cell>
          <cell r="F43" t="str">
            <v>51.2</v>
          </cell>
          <cell r="G43">
            <v>71.680000000000007</v>
          </cell>
        </row>
        <row r="44">
          <cell r="B44">
            <v>40</v>
          </cell>
          <cell r="C44" t="str">
            <v>86.66</v>
          </cell>
          <cell r="D44">
            <v>121.32</v>
          </cell>
          <cell r="F44" t="str">
            <v>52.5</v>
          </cell>
          <cell r="G44">
            <v>73.5</v>
          </cell>
        </row>
        <row r="45">
          <cell r="B45">
            <v>41</v>
          </cell>
          <cell r="C45" t="str">
            <v>88.81</v>
          </cell>
          <cell r="D45">
            <v>124.33</v>
          </cell>
          <cell r="F45" t="str">
            <v>53.8</v>
          </cell>
          <cell r="G45">
            <v>75.319999999999993</v>
          </cell>
        </row>
        <row r="46">
          <cell r="B46">
            <v>42</v>
          </cell>
          <cell r="C46" t="str">
            <v>90.95</v>
          </cell>
          <cell r="D46">
            <v>127.33</v>
          </cell>
          <cell r="F46" t="str">
            <v>55.11</v>
          </cell>
          <cell r="G46">
            <v>77.150000000000006</v>
          </cell>
        </row>
        <row r="47">
          <cell r="B47">
            <v>43</v>
          </cell>
          <cell r="C47" t="str">
            <v>93.09</v>
          </cell>
          <cell r="D47">
            <v>130.33000000000001</v>
          </cell>
          <cell r="F47" t="str">
            <v>56.4</v>
          </cell>
          <cell r="G47">
            <v>78.959999999999994</v>
          </cell>
        </row>
        <row r="48">
          <cell r="B48">
            <v>44</v>
          </cell>
          <cell r="C48" t="str">
            <v>95.23</v>
          </cell>
          <cell r="D48">
            <v>133.32</v>
          </cell>
          <cell r="F48" t="str">
            <v>57.71</v>
          </cell>
          <cell r="G48">
            <v>80.790000000000006</v>
          </cell>
        </row>
        <row r="49">
          <cell r="B49">
            <v>45</v>
          </cell>
          <cell r="C49" t="str">
            <v>97.37</v>
          </cell>
          <cell r="D49">
            <v>136.32</v>
          </cell>
          <cell r="F49" t="str">
            <v>59.01</v>
          </cell>
          <cell r="G49">
            <v>82.61</v>
          </cell>
        </row>
        <row r="50">
          <cell r="B50">
            <v>46</v>
          </cell>
          <cell r="C50" t="str">
            <v>99.52</v>
          </cell>
          <cell r="D50">
            <v>139.33000000000001</v>
          </cell>
          <cell r="F50" t="str">
            <v>60.32</v>
          </cell>
          <cell r="G50">
            <v>84.45</v>
          </cell>
        </row>
        <row r="51">
          <cell r="B51">
            <v>47</v>
          </cell>
          <cell r="C51" t="str">
            <v>101.66</v>
          </cell>
          <cell r="D51">
            <v>142.32</v>
          </cell>
          <cell r="F51" t="str">
            <v>61.62</v>
          </cell>
          <cell r="G51">
            <v>86.27</v>
          </cell>
        </row>
        <row r="52">
          <cell r="B52">
            <v>48</v>
          </cell>
          <cell r="C52" t="str">
            <v>103.8</v>
          </cell>
          <cell r="D52">
            <v>145.32</v>
          </cell>
          <cell r="F52" t="str">
            <v>62.92</v>
          </cell>
          <cell r="G52">
            <v>88.09</v>
          </cell>
        </row>
        <row r="53">
          <cell r="B53">
            <v>49</v>
          </cell>
          <cell r="C53" t="str">
            <v>105.93</v>
          </cell>
          <cell r="D53">
            <v>148.30000000000001</v>
          </cell>
          <cell r="F53" t="str">
            <v>64.22</v>
          </cell>
          <cell r="G53">
            <v>89.91</v>
          </cell>
        </row>
        <row r="54">
          <cell r="B54">
            <v>50</v>
          </cell>
          <cell r="C54" t="str">
            <v>108.07</v>
          </cell>
          <cell r="D54">
            <v>151.30000000000001</v>
          </cell>
          <cell r="F54" t="str">
            <v>65.53</v>
          </cell>
          <cell r="G54">
            <v>91.74</v>
          </cell>
        </row>
        <row r="55">
          <cell r="B55">
            <v>51</v>
          </cell>
          <cell r="C55" t="str">
            <v>110.23</v>
          </cell>
          <cell r="D55">
            <v>154.32</v>
          </cell>
          <cell r="F55" t="str">
            <v>66.83</v>
          </cell>
          <cell r="G55">
            <v>93.56</v>
          </cell>
        </row>
        <row r="56">
          <cell r="B56">
            <v>52</v>
          </cell>
          <cell r="C56" t="str">
            <v>112.36</v>
          </cell>
          <cell r="D56">
            <v>157.30000000000001</v>
          </cell>
          <cell r="F56" t="str">
            <v>68.13</v>
          </cell>
          <cell r="G56">
            <v>95.38</v>
          </cell>
        </row>
        <row r="57">
          <cell r="B57">
            <v>53</v>
          </cell>
          <cell r="C57" t="str">
            <v>114.51</v>
          </cell>
          <cell r="D57">
            <v>160.31</v>
          </cell>
          <cell r="F57" t="str">
            <v>69.43</v>
          </cell>
          <cell r="G57">
            <v>97.2</v>
          </cell>
        </row>
        <row r="58">
          <cell r="B58">
            <v>54</v>
          </cell>
          <cell r="C58" t="str">
            <v>116.66</v>
          </cell>
          <cell r="D58">
            <v>163.32</v>
          </cell>
          <cell r="F58" t="str">
            <v>70.73</v>
          </cell>
          <cell r="G58">
            <v>99.02</v>
          </cell>
        </row>
        <row r="59">
          <cell r="B59">
            <v>55</v>
          </cell>
          <cell r="C59" t="str">
            <v>118.79</v>
          </cell>
          <cell r="D59">
            <v>166.31</v>
          </cell>
          <cell r="F59" t="str">
            <v>72.04</v>
          </cell>
          <cell r="G59">
            <v>100.86</v>
          </cell>
        </row>
        <row r="60">
          <cell r="B60">
            <v>56</v>
          </cell>
          <cell r="C60" t="str">
            <v>120.93</v>
          </cell>
          <cell r="D60">
            <v>169.3</v>
          </cell>
          <cell r="F60" t="str">
            <v>73.34</v>
          </cell>
          <cell r="G60">
            <v>102.68</v>
          </cell>
        </row>
        <row r="61">
          <cell r="B61">
            <v>57</v>
          </cell>
          <cell r="C61" t="str">
            <v>123.08</v>
          </cell>
          <cell r="D61">
            <v>172.31</v>
          </cell>
          <cell r="F61" t="str">
            <v>74.64</v>
          </cell>
          <cell r="G61">
            <v>104.5</v>
          </cell>
        </row>
        <row r="62">
          <cell r="B62">
            <v>58</v>
          </cell>
          <cell r="C62" t="str">
            <v>125.24</v>
          </cell>
          <cell r="D62">
            <v>175.34</v>
          </cell>
          <cell r="F62" t="str">
            <v>75.94</v>
          </cell>
          <cell r="G62">
            <v>106.32</v>
          </cell>
        </row>
        <row r="63">
          <cell r="B63">
            <v>59</v>
          </cell>
          <cell r="C63" t="str">
            <v>127.37</v>
          </cell>
          <cell r="D63">
            <v>178.32</v>
          </cell>
          <cell r="F63" t="str">
            <v>77.25</v>
          </cell>
          <cell r="G63">
            <v>108.15</v>
          </cell>
        </row>
        <row r="64">
          <cell r="B64">
            <v>60</v>
          </cell>
          <cell r="C64" t="str">
            <v>129.51</v>
          </cell>
          <cell r="D64">
            <v>181.31</v>
          </cell>
          <cell r="F64" t="str">
            <v>78.56</v>
          </cell>
          <cell r="G64">
            <v>109.98</v>
          </cell>
        </row>
        <row r="65">
          <cell r="B65">
            <v>61</v>
          </cell>
          <cell r="C65" t="str">
            <v>131.66</v>
          </cell>
          <cell r="D65">
            <v>184.32</v>
          </cell>
          <cell r="F65" t="str">
            <v>79.86</v>
          </cell>
          <cell r="G65">
            <v>111.8</v>
          </cell>
        </row>
        <row r="66">
          <cell r="B66">
            <v>62</v>
          </cell>
          <cell r="C66" t="str">
            <v>133.83</v>
          </cell>
          <cell r="D66">
            <v>187.36</v>
          </cell>
          <cell r="F66" t="str">
            <v>81.16</v>
          </cell>
          <cell r="G66">
            <v>113.62</v>
          </cell>
        </row>
        <row r="67">
          <cell r="B67">
            <v>63</v>
          </cell>
          <cell r="C67" t="str">
            <v>135.95</v>
          </cell>
          <cell r="D67">
            <v>190.33</v>
          </cell>
          <cell r="F67" t="str">
            <v>82.46</v>
          </cell>
          <cell r="G67">
            <v>115.44</v>
          </cell>
        </row>
        <row r="68">
          <cell r="B68">
            <v>64</v>
          </cell>
          <cell r="C68" t="str">
            <v>138.08</v>
          </cell>
          <cell r="D68">
            <v>193.31</v>
          </cell>
          <cell r="F68" t="str">
            <v>83.77</v>
          </cell>
          <cell r="G68">
            <v>117.28</v>
          </cell>
        </row>
        <row r="69">
          <cell r="B69">
            <v>65</v>
          </cell>
          <cell r="C69" t="str">
            <v>140.22</v>
          </cell>
          <cell r="D69">
            <v>196.31</v>
          </cell>
          <cell r="F69" t="str">
            <v>85.06</v>
          </cell>
          <cell r="G69">
            <v>119.08</v>
          </cell>
        </row>
        <row r="70">
          <cell r="B70">
            <v>66</v>
          </cell>
          <cell r="C70" t="str">
            <v>142.37</v>
          </cell>
          <cell r="D70">
            <v>199.32</v>
          </cell>
          <cell r="F70" t="str">
            <v>86.37</v>
          </cell>
          <cell r="G70">
            <v>120.92</v>
          </cell>
        </row>
        <row r="71">
          <cell r="B71">
            <v>67</v>
          </cell>
          <cell r="C71" t="str">
            <v>144.53</v>
          </cell>
          <cell r="D71">
            <v>202.34</v>
          </cell>
          <cell r="F71" t="str">
            <v>87.67</v>
          </cell>
          <cell r="G71">
            <v>122.74</v>
          </cell>
        </row>
        <row r="72">
          <cell r="B72">
            <v>68</v>
          </cell>
          <cell r="C72" t="str">
            <v>146.64</v>
          </cell>
          <cell r="D72">
            <v>205.3</v>
          </cell>
          <cell r="F72" t="str">
            <v>88.97</v>
          </cell>
          <cell r="G72">
            <v>124.56</v>
          </cell>
        </row>
        <row r="73">
          <cell r="B73">
            <v>69</v>
          </cell>
          <cell r="C73" t="str">
            <v>148.82</v>
          </cell>
          <cell r="D73">
            <v>208.35</v>
          </cell>
          <cell r="F73" t="str">
            <v>90.27</v>
          </cell>
          <cell r="G73">
            <v>126.38</v>
          </cell>
        </row>
        <row r="74">
          <cell r="B74">
            <v>70</v>
          </cell>
          <cell r="C74" t="str">
            <v>150.94</v>
          </cell>
          <cell r="D74">
            <v>211.32</v>
          </cell>
          <cell r="F74" t="str">
            <v>91.58</v>
          </cell>
          <cell r="G74">
            <v>128.21</v>
          </cell>
        </row>
        <row r="75">
          <cell r="B75">
            <v>71</v>
          </cell>
          <cell r="C75" t="str">
            <v>153.08</v>
          </cell>
          <cell r="D75">
            <v>214.31</v>
          </cell>
          <cell r="F75" t="str">
            <v>92.89</v>
          </cell>
          <cell r="G75">
            <v>130.05000000000001</v>
          </cell>
        </row>
        <row r="76">
          <cell r="B76">
            <v>72</v>
          </cell>
          <cell r="C76" t="str">
            <v>155.22</v>
          </cell>
          <cell r="D76">
            <v>217.31</v>
          </cell>
          <cell r="F76" t="str">
            <v>94.19</v>
          </cell>
          <cell r="G76">
            <v>131.87</v>
          </cell>
        </row>
        <row r="77">
          <cell r="B77">
            <v>73</v>
          </cell>
          <cell r="C77" t="str">
            <v>157.38</v>
          </cell>
          <cell r="D77">
            <v>220.33</v>
          </cell>
          <cell r="F77" t="str">
            <v>95.49</v>
          </cell>
          <cell r="G77">
            <v>133.69</v>
          </cell>
        </row>
        <row r="78">
          <cell r="B78">
            <v>74</v>
          </cell>
          <cell r="C78" t="str">
            <v>159.54</v>
          </cell>
          <cell r="D78">
            <v>223.36</v>
          </cell>
          <cell r="F78" t="str">
            <v>96.8</v>
          </cell>
          <cell r="G78">
            <v>135.52000000000001</v>
          </cell>
        </row>
        <row r="79">
          <cell r="B79">
            <v>75</v>
          </cell>
          <cell r="C79" t="str">
            <v>161.64</v>
          </cell>
          <cell r="D79">
            <v>226.3</v>
          </cell>
          <cell r="F79" t="str">
            <v>98.1</v>
          </cell>
          <cell r="G79">
            <v>137.34</v>
          </cell>
        </row>
        <row r="80">
          <cell r="B80">
            <v>76</v>
          </cell>
          <cell r="C80" t="str">
            <v>163.82</v>
          </cell>
          <cell r="D80">
            <v>229.35</v>
          </cell>
          <cell r="F80" t="str">
            <v>99.4</v>
          </cell>
          <cell r="G80">
            <v>139.16</v>
          </cell>
        </row>
        <row r="81">
          <cell r="B81">
            <v>77</v>
          </cell>
          <cell r="C81" t="str">
            <v>165.94</v>
          </cell>
          <cell r="D81">
            <v>232.32</v>
          </cell>
          <cell r="F81" t="str">
            <v>100.7</v>
          </cell>
          <cell r="G81">
            <v>140.97999999999999</v>
          </cell>
        </row>
        <row r="82">
          <cell r="B82">
            <v>78</v>
          </cell>
          <cell r="C82" t="str">
            <v>168.06</v>
          </cell>
          <cell r="D82">
            <v>235.28</v>
          </cell>
          <cell r="F82" t="str">
            <v>102</v>
          </cell>
          <cell r="G82">
            <v>142.80000000000001</v>
          </cell>
        </row>
        <row r="83">
          <cell r="B83">
            <v>79</v>
          </cell>
          <cell r="C83" t="str">
            <v>170.27</v>
          </cell>
          <cell r="D83">
            <v>238.38</v>
          </cell>
          <cell r="F83" t="str">
            <v>103.31</v>
          </cell>
          <cell r="G83">
            <v>144.63</v>
          </cell>
        </row>
        <row r="84">
          <cell r="B84">
            <v>80</v>
          </cell>
          <cell r="C84" t="str">
            <v>172.41</v>
          </cell>
          <cell r="D84">
            <v>241.37</v>
          </cell>
          <cell r="F84" t="str">
            <v>104.61</v>
          </cell>
          <cell r="G84">
            <v>146.44999999999999</v>
          </cell>
        </row>
        <row r="85">
          <cell r="B85">
            <v>81</v>
          </cell>
          <cell r="C85" t="str">
            <v>174.56</v>
          </cell>
          <cell r="D85">
            <v>244.38</v>
          </cell>
          <cell r="F85" t="str">
            <v>105.92</v>
          </cell>
          <cell r="G85">
            <v>148.29</v>
          </cell>
        </row>
        <row r="86">
          <cell r="B86">
            <v>82</v>
          </cell>
          <cell r="C86" t="str">
            <v>176.63</v>
          </cell>
          <cell r="D86">
            <v>247.28</v>
          </cell>
          <cell r="F86" t="str">
            <v>107.21</v>
          </cell>
          <cell r="G86">
            <v>150.09</v>
          </cell>
        </row>
        <row r="87">
          <cell r="B87">
            <v>83</v>
          </cell>
          <cell r="C87" t="str">
            <v>178.79</v>
          </cell>
          <cell r="D87">
            <v>250.31</v>
          </cell>
          <cell r="F87" t="str">
            <v>108.53</v>
          </cell>
          <cell r="G87">
            <v>151.94</v>
          </cell>
        </row>
        <row r="88">
          <cell r="B88">
            <v>84</v>
          </cell>
          <cell r="C88" t="str">
            <v>180.96</v>
          </cell>
          <cell r="D88">
            <v>253.34</v>
          </cell>
          <cell r="F88" t="str">
            <v>109.82</v>
          </cell>
          <cell r="G88">
            <v>153.75</v>
          </cell>
        </row>
        <row r="89">
          <cell r="B89">
            <v>85</v>
          </cell>
          <cell r="C89" t="str">
            <v>183.14</v>
          </cell>
          <cell r="D89">
            <v>256.39999999999998</v>
          </cell>
          <cell r="F89" t="str">
            <v>111.13</v>
          </cell>
          <cell r="G89">
            <v>155.58000000000001</v>
          </cell>
        </row>
        <row r="90">
          <cell r="B90">
            <v>86</v>
          </cell>
          <cell r="C90" t="str">
            <v>185.24</v>
          </cell>
          <cell r="D90">
            <v>259.33999999999997</v>
          </cell>
          <cell r="F90" t="str">
            <v>112.43</v>
          </cell>
          <cell r="G90">
            <v>157.4</v>
          </cell>
        </row>
        <row r="91">
          <cell r="B91">
            <v>87</v>
          </cell>
          <cell r="C91" t="str">
            <v>187.34</v>
          </cell>
          <cell r="D91">
            <v>262.27999999999997</v>
          </cell>
          <cell r="F91" t="str">
            <v>113.73</v>
          </cell>
          <cell r="G91">
            <v>159.22</v>
          </cell>
        </row>
        <row r="92">
          <cell r="B92">
            <v>88</v>
          </cell>
          <cell r="C92" t="str">
            <v>189.54</v>
          </cell>
          <cell r="D92">
            <v>265.36</v>
          </cell>
          <cell r="F92" t="str">
            <v>115.03</v>
          </cell>
          <cell r="G92">
            <v>161.04</v>
          </cell>
        </row>
        <row r="93">
          <cell r="B93">
            <v>89</v>
          </cell>
          <cell r="C93" t="str">
            <v>191.66</v>
          </cell>
          <cell r="D93">
            <v>268.32</v>
          </cell>
          <cell r="F93" t="str">
            <v>116.33</v>
          </cell>
          <cell r="G93">
            <v>162.86000000000001</v>
          </cell>
        </row>
        <row r="94">
          <cell r="B94">
            <v>90</v>
          </cell>
          <cell r="C94" t="str">
            <v>193.78</v>
          </cell>
          <cell r="D94">
            <v>271.29000000000002</v>
          </cell>
          <cell r="F94" t="str">
            <v>117.65</v>
          </cell>
          <cell r="G94">
            <v>164.71</v>
          </cell>
        </row>
        <row r="95">
          <cell r="B95">
            <v>91</v>
          </cell>
          <cell r="C95" t="str">
            <v>196.01</v>
          </cell>
          <cell r="D95">
            <v>274.41000000000003</v>
          </cell>
          <cell r="F95" t="str">
            <v>118.96</v>
          </cell>
          <cell r="G95">
            <v>166.54</v>
          </cell>
        </row>
        <row r="96">
          <cell r="B96">
            <v>92</v>
          </cell>
          <cell r="C96" t="str">
            <v>198.15</v>
          </cell>
          <cell r="D96">
            <v>277.41000000000003</v>
          </cell>
          <cell r="F96" t="str">
            <v>120.24</v>
          </cell>
          <cell r="G96">
            <v>168.34</v>
          </cell>
        </row>
        <row r="97">
          <cell r="B97">
            <v>93</v>
          </cell>
          <cell r="C97" t="str">
            <v>200.29</v>
          </cell>
          <cell r="D97">
            <v>280.41000000000003</v>
          </cell>
          <cell r="F97" t="str">
            <v>121.54</v>
          </cell>
          <cell r="G97">
            <v>170.16</v>
          </cell>
        </row>
        <row r="98">
          <cell r="B98">
            <v>94</v>
          </cell>
          <cell r="C98" t="str">
            <v>202.44</v>
          </cell>
          <cell r="D98">
            <v>283.42</v>
          </cell>
          <cell r="F98" t="str">
            <v>122.85</v>
          </cell>
          <cell r="G98">
            <v>171.99</v>
          </cell>
        </row>
        <row r="99">
          <cell r="B99">
            <v>95</v>
          </cell>
          <cell r="C99" t="str">
            <v>204.48</v>
          </cell>
          <cell r="D99">
            <v>286.27</v>
          </cell>
          <cell r="F99" t="str">
            <v>124.16</v>
          </cell>
          <cell r="G99">
            <v>173.82</v>
          </cell>
        </row>
        <row r="100">
          <cell r="B100">
            <v>96</v>
          </cell>
          <cell r="C100" t="str">
            <v>206.64</v>
          </cell>
          <cell r="D100">
            <v>289.3</v>
          </cell>
          <cell r="F100" t="str">
            <v>125.47</v>
          </cell>
          <cell r="G100">
            <v>175.66</v>
          </cell>
        </row>
        <row r="101">
          <cell r="B101">
            <v>97</v>
          </cell>
          <cell r="C101" t="str">
            <v>208.81</v>
          </cell>
          <cell r="D101">
            <v>292.33</v>
          </cell>
          <cell r="F101" t="str">
            <v>126.76</v>
          </cell>
          <cell r="G101">
            <v>177.46</v>
          </cell>
        </row>
        <row r="102">
          <cell r="B102">
            <v>98</v>
          </cell>
          <cell r="C102" t="str">
            <v>210.98</v>
          </cell>
          <cell r="D102">
            <v>295.37</v>
          </cell>
          <cell r="F102" t="str">
            <v>128.07</v>
          </cell>
          <cell r="G102">
            <v>179.3</v>
          </cell>
        </row>
        <row r="103">
          <cell r="B103">
            <v>99</v>
          </cell>
          <cell r="C103" t="str">
            <v>213.17</v>
          </cell>
          <cell r="D103">
            <v>298.44</v>
          </cell>
          <cell r="F103" t="str">
            <v>129.36</v>
          </cell>
          <cell r="G103">
            <v>181.1</v>
          </cell>
        </row>
        <row r="104">
          <cell r="B104">
            <v>100</v>
          </cell>
          <cell r="C104" t="str">
            <v>215.23</v>
          </cell>
          <cell r="D104">
            <v>301.32</v>
          </cell>
          <cell r="F104" t="str">
            <v>130.68</v>
          </cell>
          <cell r="G104">
            <v>182.95</v>
          </cell>
        </row>
        <row r="105">
          <cell r="B105">
            <v>101</v>
          </cell>
          <cell r="C105" t="str">
            <v>217.43</v>
          </cell>
          <cell r="D105">
            <v>304.39999999999998</v>
          </cell>
          <cell r="F105" t="str">
            <v>131.96</v>
          </cell>
          <cell r="G105">
            <v>184.74</v>
          </cell>
        </row>
        <row r="106">
          <cell r="B106">
            <v>102</v>
          </cell>
          <cell r="C106" t="str">
            <v>219.51</v>
          </cell>
          <cell r="D106">
            <v>307.31</v>
          </cell>
          <cell r="F106" t="str">
            <v>133.29</v>
          </cell>
          <cell r="G106">
            <v>186.61</v>
          </cell>
        </row>
        <row r="107">
          <cell r="B107">
            <v>103</v>
          </cell>
          <cell r="C107" t="str">
            <v>221.72</v>
          </cell>
          <cell r="D107">
            <v>310.41000000000003</v>
          </cell>
          <cell r="F107" t="str">
            <v>134.58</v>
          </cell>
          <cell r="G107">
            <v>188.41</v>
          </cell>
        </row>
        <row r="108">
          <cell r="B108">
            <v>104</v>
          </cell>
          <cell r="C108" t="str">
            <v>223.81</v>
          </cell>
          <cell r="D108">
            <v>313.33</v>
          </cell>
          <cell r="F108" t="str">
            <v>135.87</v>
          </cell>
          <cell r="G108">
            <v>190.22</v>
          </cell>
        </row>
        <row r="109">
          <cell r="B109">
            <v>105</v>
          </cell>
          <cell r="C109" t="str">
            <v>226.04</v>
          </cell>
          <cell r="D109">
            <v>316.45999999999998</v>
          </cell>
          <cell r="F109" t="str">
            <v>137.2</v>
          </cell>
          <cell r="G109">
            <v>192.08</v>
          </cell>
        </row>
        <row r="110">
          <cell r="B110">
            <v>106</v>
          </cell>
          <cell r="C110" t="str">
            <v>228.13</v>
          </cell>
          <cell r="D110">
            <v>319.38</v>
          </cell>
          <cell r="F110" t="str">
            <v>138.49</v>
          </cell>
          <cell r="G110">
            <v>193.89</v>
          </cell>
        </row>
        <row r="111">
          <cell r="B111">
            <v>107</v>
          </cell>
          <cell r="C111" t="str">
            <v>230.23</v>
          </cell>
          <cell r="D111">
            <v>322.32</v>
          </cell>
          <cell r="F111" t="str">
            <v>139.79</v>
          </cell>
          <cell r="G111">
            <v>195.71</v>
          </cell>
        </row>
        <row r="112">
          <cell r="B112">
            <v>108</v>
          </cell>
          <cell r="C112" t="str">
            <v>232.34</v>
          </cell>
          <cell r="D112">
            <v>325.27999999999997</v>
          </cell>
          <cell r="F112" t="str">
            <v>141.09</v>
          </cell>
          <cell r="G112">
            <v>197.53</v>
          </cell>
        </row>
        <row r="113">
          <cell r="B113">
            <v>109</v>
          </cell>
          <cell r="C113" t="str">
            <v>234.6</v>
          </cell>
          <cell r="D113">
            <v>328.44</v>
          </cell>
          <cell r="F113" t="str">
            <v>142.39</v>
          </cell>
          <cell r="G113">
            <v>199.35</v>
          </cell>
        </row>
        <row r="114">
          <cell r="B114">
            <v>110</v>
          </cell>
          <cell r="C114" t="str">
            <v>236.71</v>
          </cell>
          <cell r="D114">
            <v>331.39</v>
          </cell>
          <cell r="F114" t="str">
            <v>143.69</v>
          </cell>
          <cell r="G114">
            <v>201.17</v>
          </cell>
        </row>
        <row r="115">
          <cell r="B115">
            <v>111</v>
          </cell>
          <cell r="C115" t="str">
            <v>238.84</v>
          </cell>
          <cell r="D115">
            <v>334.38</v>
          </cell>
          <cell r="F115" t="str">
            <v>144.99</v>
          </cell>
          <cell r="G115">
            <v>202.99</v>
          </cell>
        </row>
        <row r="116">
          <cell r="B116">
            <v>112</v>
          </cell>
          <cell r="C116" t="str">
            <v>240.96</v>
          </cell>
          <cell r="D116">
            <v>337.34</v>
          </cell>
          <cell r="F116" t="str">
            <v>146.29</v>
          </cell>
          <cell r="G116">
            <v>204.81</v>
          </cell>
        </row>
        <row r="117">
          <cell r="B117">
            <v>113</v>
          </cell>
          <cell r="C117" t="str">
            <v>243.1</v>
          </cell>
          <cell r="D117">
            <v>340.34</v>
          </cell>
          <cell r="F117" t="str">
            <v>147.59</v>
          </cell>
          <cell r="G117">
            <v>206.63</v>
          </cell>
        </row>
        <row r="118">
          <cell r="B118">
            <v>114</v>
          </cell>
          <cell r="C118" t="str">
            <v>245.24</v>
          </cell>
          <cell r="D118">
            <v>343.34</v>
          </cell>
          <cell r="F118" t="str">
            <v>148.9</v>
          </cell>
          <cell r="G118">
            <v>208.46</v>
          </cell>
        </row>
        <row r="119">
          <cell r="B119">
            <v>115</v>
          </cell>
          <cell r="C119" t="str">
            <v>247.38</v>
          </cell>
          <cell r="D119">
            <v>346.33</v>
          </cell>
          <cell r="F119" t="str">
            <v>150.2</v>
          </cell>
          <cell r="G119">
            <v>210.28</v>
          </cell>
        </row>
        <row r="120">
          <cell r="B120">
            <v>116</v>
          </cell>
          <cell r="C120" t="str">
            <v>249.53</v>
          </cell>
          <cell r="D120">
            <v>349.34</v>
          </cell>
          <cell r="F120" t="str">
            <v>151.51</v>
          </cell>
          <cell r="G120">
            <v>212.11</v>
          </cell>
        </row>
        <row r="121">
          <cell r="B121">
            <v>117</v>
          </cell>
          <cell r="C121" t="str">
            <v>251.68</v>
          </cell>
          <cell r="D121">
            <v>352.35</v>
          </cell>
          <cell r="F121" t="str">
            <v>152.82</v>
          </cell>
          <cell r="G121">
            <v>213.95</v>
          </cell>
        </row>
        <row r="122">
          <cell r="B122">
            <v>118</v>
          </cell>
          <cell r="C122" t="str">
            <v>253.85</v>
          </cell>
          <cell r="D122">
            <v>355.39</v>
          </cell>
          <cell r="F122" t="str">
            <v>154.13</v>
          </cell>
          <cell r="G122">
            <v>215.78</v>
          </cell>
        </row>
        <row r="123">
          <cell r="B123">
            <v>119</v>
          </cell>
          <cell r="C123" t="str">
            <v>256.01</v>
          </cell>
          <cell r="D123">
            <v>358.41</v>
          </cell>
          <cell r="F123" t="str">
            <v>155.44</v>
          </cell>
          <cell r="G123">
            <v>217.62</v>
          </cell>
        </row>
        <row r="124">
          <cell r="B124">
            <v>120</v>
          </cell>
          <cell r="C124" t="str">
            <v>258.19</v>
          </cell>
          <cell r="D124">
            <v>361.47</v>
          </cell>
          <cell r="F124" t="str">
            <v>156.71</v>
          </cell>
          <cell r="G124">
            <v>219.39</v>
          </cell>
        </row>
        <row r="125">
          <cell r="B125">
            <v>121</v>
          </cell>
          <cell r="C125" t="str">
            <v>260.18</v>
          </cell>
          <cell r="D125">
            <v>364.25</v>
          </cell>
          <cell r="F125" t="str">
            <v>158.03</v>
          </cell>
          <cell r="G125">
            <v>221.24</v>
          </cell>
        </row>
        <row r="126">
          <cell r="B126">
            <v>122</v>
          </cell>
          <cell r="C126" t="str">
            <v>262.37</v>
          </cell>
          <cell r="D126">
            <v>367.32</v>
          </cell>
          <cell r="F126" t="str">
            <v>159.34</v>
          </cell>
          <cell r="G126">
            <v>223.08</v>
          </cell>
        </row>
        <row r="127">
          <cell r="B127">
            <v>123</v>
          </cell>
          <cell r="C127" t="str">
            <v>264.56</v>
          </cell>
          <cell r="D127">
            <v>370.38</v>
          </cell>
          <cell r="F127" t="str">
            <v>160.62</v>
          </cell>
          <cell r="G127">
            <v>224.87</v>
          </cell>
        </row>
        <row r="128">
          <cell r="B128">
            <v>124</v>
          </cell>
          <cell r="C128" t="str">
            <v>266.76</v>
          </cell>
          <cell r="D128">
            <v>373.46</v>
          </cell>
          <cell r="F128" t="str">
            <v>161.94</v>
          </cell>
          <cell r="G128">
            <v>226.72</v>
          </cell>
        </row>
        <row r="129">
          <cell r="B129">
            <v>125</v>
          </cell>
          <cell r="C129" t="str">
            <v>268.76</v>
          </cell>
          <cell r="D129">
            <v>376.26</v>
          </cell>
          <cell r="F129" t="str">
            <v>163.25</v>
          </cell>
          <cell r="G129">
            <v>228.55</v>
          </cell>
        </row>
        <row r="130">
          <cell r="B130">
            <v>126</v>
          </cell>
          <cell r="C130" t="str">
            <v>270.97</v>
          </cell>
          <cell r="D130">
            <v>379.36</v>
          </cell>
          <cell r="F130" t="str">
            <v>164.53</v>
          </cell>
          <cell r="G130">
            <v>230.34</v>
          </cell>
        </row>
        <row r="131">
          <cell r="B131">
            <v>127</v>
          </cell>
          <cell r="C131" t="str">
            <v>273.19</v>
          </cell>
          <cell r="D131">
            <v>382.47</v>
          </cell>
          <cell r="F131" t="str">
            <v>165.85</v>
          </cell>
          <cell r="G131">
            <v>232.19</v>
          </cell>
        </row>
        <row r="132">
          <cell r="B132">
            <v>128</v>
          </cell>
          <cell r="C132" t="str">
            <v>275.21</v>
          </cell>
          <cell r="D132">
            <v>385.29</v>
          </cell>
          <cell r="F132" t="str">
            <v>167.18</v>
          </cell>
          <cell r="G132">
            <v>234.05</v>
          </cell>
        </row>
        <row r="133">
          <cell r="B133">
            <v>129</v>
          </cell>
          <cell r="C133" t="str">
            <v>277.43</v>
          </cell>
          <cell r="D133">
            <v>388.4</v>
          </cell>
          <cell r="F133" t="str">
            <v>168.46</v>
          </cell>
          <cell r="G133">
            <v>235.84</v>
          </cell>
        </row>
        <row r="134">
          <cell r="B134">
            <v>130</v>
          </cell>
          <cell r="C134" t="str">
            <v>279.67</v>
          </cell>
          <cell r="D134">
            <v>391.54</v>
          </cell>
          <cell r="F134" t="str">
            <v>169.78</v>
          </cell>
          <cell r="G134">
            <v>237.69</v>
          </cell>
        </row>
        <row r="135">
          <cell r="B135">
            <v>131</v>
          </cell>
          <cell r="C135" t="str">
            <v>281.7</v>
          </cell>
          <cell r="D135">
            <v>394.38</v>
          </cell>
          <cell r="F135" t="str">
            <v>171.06</v>
          </cell>
          <cell r="G135">
            <v>239.48</v>
          </cell>
        </row>
        <row r="136">
          <cell r="B136">
            <v>132</v>
          </cell>
          <cell r="C136" t="str">
            <v>283.95</v>
          </cell>
          <cell r="D136">
            <v>397.53</v>
          </cell>
          <cell r="F136" t="str">
            <v>172.34</v>
          </cell>
          <cell r="G136">
            <v>241.28</v>
          </cell>
        </row>
        <row r="137">
          <cell r="B137">
            <v>133</v>
          </cell>
          <cell r="C137" t="str">
            <v>285.98</v>
          </cell>
          <cell r="D137">
            <v>400.37</v>
          </cell>
          <cell r="F137" t="str">
            <v>173.67</v>
          </cell>
          <cell r="G137">
            <v>243.14</v>
          </cell>
        </row>
        <row r="138">
          <cell r="B138">
            <v>134</v>
          </cell>
          <cell r="C138" t="str">
            <v>288.24</v>
          </cell>
          <cell r="D138">
            <v>403.54</v>
          </cell>
          <cell r="F138" t="str">
            <v>174.95</v>
          </cell>
          <cell r="G138">
            <v>244.93</v>
          </cell>
        </row>
        <row r="139">
          <cell r="B139">
            <v>135</v>
          </cell>
          <cell r="C139" t="str">
            <v>290.28</v>
          </cell>
          <cell r="D139">
            <v>406.39</v>
          </cell>
          <cell r="F139" t="str">
            <v>176.29</v>
          </cell>
          <cell r="G139">
            <v>246.81</v>
          </cell>
        </row>
        <row r="140">
          <cell r="B140">
            <v>136</v>
          </cell>
          <cell r="C140" t="str">
            <v>292.33</v>
          </cell>
          <cell r="D140">
            <v>409.26</v>
          </cell>
          <cell r="F140" t="str">
            <v>177.57</v>
          </cell>
          <cell r="G140">
            <v>248.6</v>
          </cell>
        </row>
        <row r="141">
          <cell r="B141">
            <v>137</v>
          </cell>
          <cell r="C141" t="str">
            <v>294.61</v>
          </cell>
          <cell r="D141">
            <v>412.45</v>
          </cell>
          <cell r="F141" t="str">
            <v>178.91</v>
          </cell>
          <cell r="G141">
            <v>250.47</v>
          </cell>
        </row>
        <row r="142">
          <cell r="B142">
            <v>138</v>
          </cell>
          <cell r="C142" t="str">
            <v>296.66</v>
          </cell>
          <cell r="D142">
            <v>415.32</v>
          </cell>
          <cell r="F142" t="str">
            <v>180.19</v>
          </cell>
          <cell r="G142">
            <v>252.27</v>
          </cell>
        </row>
        <row r="143">
          <cell r="B143">
            <v>139</v>
          </cell>
          <cell r="C143" t="str">
            <v>298.95</v>
          </cell>
          <cell r="D143">
            <v>418.53</v>
          </cell>
          <cell r="F143" t="str">
            <v>181.48</v>
          </cell>
          <cell r="G143">
            <v>254.07</v>
          </cell>
        </row>
        <row r="144">
          <cell r="B144">
            <v>140</v>
          </cell>
          <cell r="C144" t="str">
            <v>301.01</v>
          </cell>
          <cell r="D144">
            <v>421.41</v>
          </cell>
          <cell r="F144" t="str">
            <v>182.76</v>
          </cell>
          <cell r="G144">
            <v>255.86</v>
          </cell>
        </row>
        <row r="145">
          <cell r="B145">
            <v>141</v>
          </cell>
          <cell r="C145" t="str">
            <v>303.07</v>
          </cell>
          <cell r="D145">
            <v>424.3</v>
          </cell>
          <cell r="F145" t="str">
            <v>184.11</v>
          </cell>
          <cell r="G145">
            <v>257.75</v>
          </cell>
        </row>
        <row r="146">
          <cell r="B146">
            <v>142</v>
          </cell>
          <cell r="C146" t="str">
            <v>305.38</v>
          </cell>
          <cell r="D146">
            <v>427.53</v>
          </cell>
          <cell r="F146" t="str">
            <v>185.39</v>
          </cell>
          <cell r="G146">
            <v>259.55</v>
          </cell>
        </row>
        <row r="147">
          <cell r="B147">
            <v>143</v>
          </cell>
          <cell r="C147" t="str">
            <v>307.45</v>
          </cell>
          <cell r="D147">
            <v>430.43</v>
          </cell>
          <cell r="F147" t="str">
            <v>186.68</v>
          </cell>
          <cell r="G147">
            <v>261.35000000000002</v>
          </cell>
        </row>
        <row r="148">
          <cell r="B148">
            <v>144</v>
          </cell>
          <cell r="C148" t="str">
            <v>309.52</v>
          </cell>
          <cell r="D148">
            <v>433.33</v>
          </cell>
          <cell r="F148" t="str">
            <v>188.03</v>
          </cell>
          <cell r="G148">
            <v>263.24</v>
          </cell>
        </row>
        <row r="149">
          <cell r="B149">
            <v>145</v>
          </cell>
          <cell r="C149" t="str">
            <v>311.86</v>
          </cell>
          <cell r="D149">
            <v>436.6</v>
          </cell>
          <cell r="F149" t="str">
            <v>189.32</v>
          </cell>
          <cell r="G149">
            <v>265.05</v>
          </cell>
        </row>
        <row r="150">
          <cell r="B150">
            <v>146</v>
          </cell>
          <cell r="C150" t="str">
            <v>313.94</v>
          </cell>
          <cell r="D150">
            <v>439.52</v>
          </cell>
          <cell r="F150" t="str">
            <v>190.61</v>
          </cell>
          <cell r="G150">
            <v>266.85000000000002</v>
          </cell>
        </row>
        <row r="151">
          <cell r="B151">
            <v>147</v>
          </cell>
          <cell r="C151" t="str">
            <v>316.02</v>
          </cell>
          <cell r="D151">
            <v>442.43</v>
          </cell>
          <cell r="F151" t="str">
            <v>191.9</v>
          </cell>
          <cell r="G151">
            <v>268.66000000000003</v>
          </cell>
        </row>
        <row r="152">
          <cell r="B152">
            <v>148</v>
          </cell>
          <cell r="C152" t="str">
            <v>318.1</v>
          </cell>
          <cell r="D152">
            <v>445.34</v>
          </cell>
          <cell r="F152" t="str">
            <v>193.19</v>
          </cell>
          <cell r="G152">
            <v>270.47000000000003</v>
          </cell>
        </row>
        <row r="153">
          <cell r="B153">
            <v>149</v>
          </cell>
          <cell r="C153" t="str">
            <v>320.19</v>
          </cell>
          <cell r="D153">
            <v>448.27</v>
          </cell>
          <cell r="F153" t="str">
            <v>194.55</v>
          </cell>
          <cell r="G153">
            <v>272.37</v>
          </cell>
        </row>
        <row r="154">
          <cell r="B154">
            <v>150</v>
          </cell>
          <cell r="C154" t="str">
            <v>322.56</v>
          </cell>
          <cell r="D154">
            <v>451.58</v>
          </cell>
          <cell r="F154" t="str">
            <v>195.84</v>
          </cell>
          <cell r="G154">
            <v>274.18</v>
          </cell>
        </row>
        <row r="155">
          <cell r="B155">
            <v>151</v>
          </cell>
          <cell r="C155" t="str">
            <v>324.66</v>
          </cell>
          <cell r="D155">
            <v>454.52</v>
          </cell>
          <cell r="F155" t="str">
            <v>197.14</v>
          </cell>
          <cell r="G155">
            <v>276</v>
          </cell>
        </row>
        <row r="156">
          <cell r="B156">
            <v>152</v>
          </cell>
          <cell r="C156" t="str">
            <v>326.76</v>
          </cell>
          <cell r="D156">
            <v>457.46</v>
          </cell>
          <cell r="F156" t="str">
            <v>198.43</v>
          </cell>
          <cell r="G156">
            <v>277.8</v>
          </cell>
        </row>
        <row r="157">
          <cell r="B157">
            <v>153</v>
          </cell>
          <cell r="C157" t="str">
            <v>328.87</v>
          </cell>
          <cell r="D157">
            <v>460.42</v>
          </cell>
          <cell r="F157" t="str">
            <v>199.73</v>
          </cell>
          <cell r="G157">
            <v>279.62</v>
          </cell>
        </row>
        <row r="158">
          <cell r="B158">
            <v>154</v>
          </cell>
          <cell r="C158" t="str">
            <v>330.97</v>
          </cell>
          <cell r="D158">
            <v>463.36</v>
          </cell>
          <cell r="F158" t="str">
            <v>201.03</v>
          </cell>
          <cell r="G158">
            <v>281.44</v>
          </cell>
        </row>
        <row r="159">
          <cell r="B159">
            <v>155</v>
          </cell>
          <cell r="C159" t="str">
            <v>333.08</v>
          </cell>
          <cell r="D159">
            <v>466.31</v>
          </cell>
          <cell r="F159" t="str">
            <v>202.33</v>
          </cell>
          <cell r="G159">
            <v>283.26</v>
          </cell>
        </row>
        <row r="160">
          <cell r="B160">
            <v>156</v>
          </cell>
          <cell r="C160" t="str">
            <v>335.2</v>
          </cell>
          <cell r="D160">
            <v>469.28</v>
          </cell>
          <cell r="F160" t="str">
            <v>203.62</v>
          </cell>
          <cell r="G160">
            <v>285.07</v>
          </cell>
        </row>
        <row r="161">
          <cell r="B161">
            <v>157</v>
          </cell>
          <cell r="C161" t="str">
            <v>337.31</v>
          </cell>
          <cell r="D161">
            <v>472.23</v>
          </cell>
          <cell r="F161" t="str">
            <v>204.92</v>
          </cell>
          <cell r="G161">
            <v>286.89</v>
          </cell>
        </row>
        <row r="162">
          <cell r="B162">
            <v>158</v>
          </cell>
          <cell r="C162" t="str">
            <v>339.75</v>
          </cell>
          <cell r="D162">
            <v>475.65</v>
          </cell>
          <cell r="F162" t="str">
            <v>206.22</v>
          </cell>
          <cell r="G162">
            <v>288.70999999999998</v>
          </cell>
        </row>
        <row r="163">
          <cell r="B163">
            <v>159</v>
          </cell>
          <cell r="C163" t="str">
            <v>341.88</v>
          </cell>
          <cell r="D163">
            <v>478.63</v>
          </cell>
          <cell r="F163" t="str">
            <v>207.53</v>
          </cell>
          <cell r="G163">
            <v>290.54000000000002</v>
          </cell>
        </row>
        <row r="164">
          <cell r="B164">
            <v>160</v>
          </cell>
          <cell r="C164" t="str">
            <v>344.01</v>
          </cell>
          <cell r="D164">
            <v>481.61</v>
          </cell>
          <cell r="F164" t="str">
            <v>208.83</v>
          </cell>
          <cell r="G164">
            <v>292.36</v>
          </cell>
        </row>
        <row r="165">
          <cell r="B165">
            <v>161</v>
          </cell>
          <cell r="C165" t="str">
            <v>346.14</v>
          </cell>
          <cell r="D165">
            <v>484.6</v>
          </cell>
          <cell r="F165" t="str">
            <v>210.13</v>
          </cell>
          <cell r="G165">
            <v>294.18</v>
          </cell>
        </row>
        <row r="166">
          <cell r="B166">
            <v>162</v>
          </cell>
          <cell r="C166" t="str">
            <v>348.28</v>
          </cell>
          <cell r="D166">
            <v>487.59</v>
          </cell>
          <cell r="F166" t="str">
            <v>211.43</v>
          </cell>
          <cell r="G166">
            <v>296</v>
          </cell>
        </row>
        <row r="167">
          <cell r="B167">
            <v>163</v>
          </cell>
          <cell r="C167" t="str">
            <v>350.43</v>
          </cell>
          <cell r="D167">
            <v>490.6</v>
          </cell>
          <cell r="F167" t="str">
            <v>212.74</v>
          </cell>
          <cell r="G167">
            <v>297.83999999999997</v>
          </cell>
        </row>
        <row r="168">
          <cell r="B168">
            <v>164</v>
          </cell>
          <cell r="C168" t="str">
            <v>352.58</v>
          </cell>
          <cell r="D168">
            <v>493.61</v>
          </cell>
          <cell r="F168" t="str">
            <v>214.05</v>
          </cell>
          <cell r="G168">
            <v>299.67</v>
          </cell>
        </row>
        <row r="169">
          <cell r="B169">
            <v>165</v>
          </cell>
          <cell r="C169" t="str">
            <v>354.73</v>
          </cell>
          <cell r="D169">
            <v>496.62</v>
          </cell>
          <cell r="F169" t="str">
            <v>215.35</v>
          </cell>
          <cell r="G169">
            <v>301.49</v>
          </cell>
        </row>
        <row r="170">
          <cell r="B170">
            <v>166</v>
          </cell>
          <cell r="C170" t="str">
            <v>356.88</v>
          </cell>
          <cell r="D170">
            <v>499.63</v>
          </cell>
          <cell r="F170" t="str">
            <v>216.66</v>
          </cell>
          <cell r="G170">
            <v>303.32</v>
          </cell>
        </row>
        <row r="171">
          <cell r="B171">
            <v>167</v>
          </cell>
          <cell r="C171" t="str">
            <v>359.04</v>
          </cell>
          <cell r="D171">
            <v>502.66</v>
          </cell>
          <cell r="F171" t="str">
            <v>217.97</v>
          </cell>
          <cell r="G171">
            <v>305.16000000000003</v>
          </cell>
        </row>
        <row r="172">
          <cell r="B172">
            <v>168</v>
          </cell>
          <cell r="C172" t="str">
            <v>361.21</v>
          </cell>
          <cell r="D172">
            <v>505.69</v>
          </cell>
          <cell r="F172" t="str">
            <v>219.28</v>
          </cell>
          <cell r="G172">
            <v>306.99</v>
          </cell>
        </row>
        <row r="173">
          <cell r="B173">
            <v>169</v>
          </cell>
          <cell r="C173" t="str">
            <v>363.02</v>
          </cell>
          <cell r="D173">
            <v>508.23</v>
          </cell>
          <cell r="F173" t="str">
            <v>220.59</v>
          </cell>
          <cell r="G173">
            <v>308.83</v>
          </cell>
        </row>
        <row r="174">
          <cell r="B174">
            <v>170</v>
          </cell>
          <cell r="C174" t="str">
            <v>365.19</v>
          </cell>
          <cell r="D174">
            <v>511.27</v>
          </cell>
          <cell r="F174" t="str">
            <v>221.9</v>
          </cell>
          <cell r="G174">
            <v>310.66000000000003</v>
          </cell>
        </row>
        <row r="175">
          <cell r="B175">
            <v>171</v>
          </cell>
          <cell r="C175" t="str">
            <v>367.36</v>
          </cell>
          <cell r="D175">
            <v>514.29999999999995</v>
          </cell>
          <cell r="F175" t="str">
            <v>223.21</v>
          </cell>
          <cell r="G175">
            <v>312.49</v>
          </cell>
        </row>
        <row r="176">
          <cell r="B176">
            <v>172</v>
          </cell>
          <cell r="C176" t="str">
            <v>369.54</v>
          </cell>
          <cell r="D176">
            <v>517.36</v>
          </cell>
          <cell r="F176" t="str">
            <v>224.52</v>
          </cell>
          <cell r="G176">
            <v>314.33</v>
          </cell>
        </row>
        <row r="177">
          <cell r="B177">
            <v>173</v>
          </cell>
          <cell r="C177" t="str">
            <v>371.73</v>
          </cell>
          <cell r="D177">
            <v>520.41999999999996</v>
          </cell>
          <cell r="F177" t="str">
            <v>225.76</v>
          </cell>
          <cell r="G177">
            <v>316.06</v>
          </cell>
        </row>
        <row r="178">
          <cell r="B178">
            <v>174</v>
          </cell>
          <cell r="C178" t="str">
            <v>373.91</v>
          </cell>
          <cell r="D178">
            <v>523.47</v>
          </cell>
          <cell r="F178" t="str">
            <v>227.07</v>
          </cell>
          <cell r="G178">
            <v>317.89999999999998</v>
          </cell>
        </row>
        <row r="179">
          <cell r="B179">
            <v>175</v>
          </cell>
          <cell r="C179" t="str">
            <v>376.11</v>
          </cell>
          <cell r="D179">
            <v>526.54999999999995</v>
          </cell>
          <cell r="F179" t="str">
            <v>228.39</v>
          </cell>
          <cell r="G179">
            <v>319.75</v>
          </cell>
        </row>
        <row r="180">
          <cell r="B180">
            <v>176</v>
          </cell>
          <cell r="C180" t="str">
            <v>378.3</v>
          </cell>
          <cell r="D180">
            <v>529.62</v>
          </cell>
          <cell r="F180" t="str">
            <v>229.7</v>
          </cell>
          <cell r="G180">
            <v>321.58</v>
          </cell>
        </row>
        <row r="181">
          <cell r="B181">
            <v>177</v>
          </cell>
          <cell r="C181" t="str">
            <v>380.51</v>
          </cell>
          <cell r="D181">
            <v>532.71</v>
          </cell>
          <cell r="F181" t="str">
            <v>231.02</v>
          </cell>
          <cell r="G181">
            <v>323.43</v>
          </cell>
        </row>
        <row r="182">
          <cell r="B182">
            <v>178</v>
          </cell>
          <cell r="C182" t="str">
            <v>382.32</v>
          </cell>
          <cell r="D182">
            <v>535.25</v>
          </cell>
          <cell r="F182" t="str">
            <v>232.34</v>
          </cell>
          <cell r="G182">
            <v>325.27999999999997</v>
          </cell>
        </row>
        <row r="183">
          <cell r="B183">
            <v>179</v>
          </cell>
          <cell r="C183" t="str">
            <v>384.53</v>
          </cell>
          <cell r="D183">
            <v>538.34</v>
          </cell>
          <cell r="F183" t="str">
            <v>233.57</v>
          </cell>
          <cell r="G183">
            <v>327</v>
          </cell>
        </row>
        <row r="184">
          <cell r="B184">
            <v>180</v>
          </cell>
          <cell r="C184" t="str">
            <v>386.74</v>
          </cell>
          <cell r="D184">
            <v>541.44000000000005</v>
          </cell>
          <cell r="F184" t="str">
            <v>234.89</v>
          </cell>
          <cell r="G184">
            <v>328.85</v>
          </cell>
        </row>
        <row r="185">
          <cell r="B185">
            <v>181</v>
          </cell>
          <cell r="C185" t="str">
            <v>388.96</v>
          </cell>
          <cell r="D185">
            <v>544.54</v>
          </cell>
          <cell r="F185" t="str">
            <v>236.21</v>
          </cell>
          <cell r="G185">
            <v>330.69</v>
          </cell>
        </row>
        <row r="186">
          <cell r="B186">
            <v>182</v>
          </cell>
          <cell r="C186" t="str">
            <v>391.18</v>
          </cell>
          <cell r="D186">
            <v>547.65</v>
          </cell>
          <cell r="F186" t="str">
            <v>237.54</v>
          </cell>
          <cell r="G186">
            <v>332.56</v>
          </cell>
        </row>
        <row r="187">
          <cell r="B187">
            <v>183</v>
          </cell>
          <cell r="C187" t="str">
            <v>393.41</v>
          </cell>
          <cell r="D187">
            <v>550.77</v>
          </cell>
          <cell r="F187" t="str">
            <v>238.86</v>
          </cell>
          <cell r="G187">
            <v>334.4</v>
          </cell>
        </row>
        <row r="188">
          <cell r="B188">
            <v>184</v>
          </cell>
          <cell r="C188" t="str">
            <v>395.22</v>
          </cell>
          <cell r="D188">
            <v>553.30999999999995</v>
          </cell>
          <cell r="F188" t="str">
            <v>240.09</v>
          </cell>
          <cell r="G188">
            <v>336.13</v>
          </cell>
        </row>
        <row r="189">
          <cell r="B189">
            <v>185</v>
          </cell>
          <cell r="C189" t="str">
            <v>397.46</v>
          </cell>
          <cell r="D189">
            <v>556.44000000000005</v>
          </cell>
          <cell r="F189" t="str">
            <v>241.42</v>
          </cell>
          <cell r="G189">
            <v>337.99</v>
          </cell>
        </row>
        <row r="190">
          <cell r="B190">
            <v>186</v>
          </cell>
          <cell r="C190" t="str">
            <v>399.7</v>
          </cell>
          <cell r="D190">
            <v>559.58000000000004</v>
          </cell>
          <cell r="F190" t="str">
            <v>242.74</v>
          </cell>
          <cell r="G190">
            <v>339.84</v>
          </cell>
        </row>
        <row r="191">
          <cell r="B191">
            <v>187</v>
          </cell>
          <cell r="C191" t="str">
            <v>401.95</v>
          </cell>
          <cell r="D191">
            <v>562.73</v>
          </cell>
          <cell r="F191" t="str">
            <v>244.07</v>
          </cell>
          <cell r="G191">
            <v>341.7</v>
          </cell>
        </row>
        <row r="192">
          <cell r="B192">
            <v>188</v>
          </cell>
          <cell r="C192" t="str">
            <v>403.76</v>
          </cell>
          <cell r="D192">
            <v>565.26</v>
          </cell>
          <cell r="F192" t="str">
            <v>245.3</v>
          </cell>
          <cell r="G192">
            <v>343.42</v>
          </cell>
        </row>
        <row r="193">
          <cell r="B193">
            <v>189</v>
          </cell>
          <cell r="C193" t="str">
            <v>406.01</v>
          </cell>
          <cell r="D193">
            <v>568.41</v>
          </cell>
          <cell r="F193" t="str">
            <v>246.63</v>
          </cell>
          <cell r="G193">
            <v>345.28</v>
          </cell>
        </row>
        <row r="194">
          <cell r="B194">
            <v>190</v>
          </cell>
          <cell r="C194" t="str">
            <v>408.27</v>
          </cell>
          <cell r="D194">
            <v>571.58000000000004</v>
          </cell>
          <cell r="F194" t="str">
            <v>247.96</v>
          </cell>
          <cell r="G194">
            <v>347.14</v>
          </cell>
        </row>
        <row r="195">
          <cell r="B195">
            <v>191</v>
          </cell>
          <cell r="C195" t="str">
            <v>410.54</v>
          </cell>
          <cell r="D195">
            <v>574.76</v>
          </cell>
          <cell r="F195" t="str">
            <v>249.29</v>
          </cell>
          <cell r="G195">
            <v>349.01</v>
          </cell>
        </row>
        <row r="196">
          <cell r="B196">
            <v>192</v>
          </cell>
          <cell r="C196" t="str">
            <v>412.35</v>
          </cell>
          <cell r="D196">
            <v>577.29</v>
          </cell>
          <cell r="F196" t="str">
            <v>250.53</v>
          </cell>
          <cell r="G196">
            <v>350.74</v>
          </cell>
        </row>
        <row r="197">
          <cell r="B197">
            <v>193</v>
          </cell>
          <cell r="C197" t="str">
            <v>414.62</v>
          </cell>
          <cell r="D197">
            <v>580.47</v>
          </cell>
          <cell r="F197" t="str">
            <v>251.86</v>
          </cell>
          <cell r="G197">
            <v>352.6</v>
          </cell>
        </row>
        <row r="198">
          <cell r="B198">
            <v>194</v>
          </cell>
          <cell r="C198" t="str">
            <v>416.9</v>
          </cell>
          <cell r="D198">
            <v>583.66</v>
          </cell>
          <cell r="F198" t="str">
            <v>253.19</v>
          </cell>
          <cell r="G198">
            <v>354.47</v>
          </cell>
        </row>
        <row r="199">
          <cell r="B199">
            <v>195</v>
          </cell>
          <cell r="C199" t="str">
            <v>419.19</v>
          </cell>
          <cell r="D199">
            <v>586.87</v>
          </cell>
          <cell r="F199" t="str">
            <v>254.43</v>
          </cell>
          <cell r="G199">
            <v>356.2</v>
          </cell>
        </row>
        <row r="200">
          <cell r="B200">
            <v>196</v>
          </cell>
          <cell r="C200" t="str">
            <v>421</v>
          </cell>
          <cell r="D200">
            <v>589.4</v>
          </cell>
          <cell r="F200" t="str">
            <v>255.76</v>
          </cell>
          <cell r="G200">
            <v>358.06</v>
          </cell>
        </row>
        <row r="201">
          <cell r="B201">
            <v>197</v>
          </cell>
          <cell r="C201" t="str">
            <v>423.29</v>
          </cell>
          <cell r="D201">
            <v>592.61</v>
          </cell>
          <cell r="F201" t="str">
            <v>257.1</v>
          </cell>
          <cell r="G201">
            <v>359.94</v>
          </cell>
        </row>
        <row r="202">
          <cell r="B202">
            <v>198</v>
          </cell>
          <cell r="C202" t="str">
            <v>425.59</v>
          </cell>
          <cell r="D202">
            <v>595.83000000000004</v>
          </cell>
          <cell r="F202" t="str">
            <v>258.33</v>
          </cell>
          <cell r="G202">
            <v>361.66</v>
          </cell>
        </row>
        <row r="203">
          <cell r="B203">
            <v>199</v>
          </cell>
          <cell r="C203" t="str">
            <v>427.4</v>
          </cell>
          <cell r="D203">
            <v>598.36</v>
          </cell>
          <cell r="F203" t="str">
            <v>259.67</v>
          </cell>
          <cell r="G203">
            <v>363.54</v>
          </cell>
        </row>
        <row r="204">
          <cell r="B204">
            <v>200</v>
          </cell>
          <cell r="C204" t="str">
            <v>429.71</v>
          </cell>
          <cell r="D204">
            <v>601.59</v>
          </cell>
          <cell r="F204" t="str">
            <v>261.01</v>
          </cell>
          <cell r="G204">
            <v>365.41</v>
          </cell>
        </row>
        <row r="205">
          <cell r="B205">
            <v>201</v>
          </cell>
          <cell r="C205">
            <v>431.85999999999996</v>
          </cell>
          <cell r="D205">
            <v>604.6</v>
          </cell>
          <cell r="F205">
            <v>262.31</v>
          </cell>
          <cell r="G205">
            <v>367.23</v>
          </cell>
        </row>
        <row r="206">
          <cell r="B206">
            <v>202</v>
          </cell>
          <cell r="C206">
            <v>434.00999999999993</v>
          </cell>
          <cell r="D206">
            <v>607.61</v>
          </cell>
          <cell r="F206">
            <v>263.61</v>
          </cell>
          <cell r="G206">
            <v>369.05</v>
          </cell>
        </row>
        <row r="207">
          <cell r="B207">
            <v>203</v>
          </cell>
          <cell r="C207">
            <v>436.15999999999991</v>
          </cell>
          <cell r="D207">
            <v>610.62</v>
          </cell>
          <cell r="F207">
            <v>264.91000000000003</v>
          </cell>
          <cell r="G207">
            <v>370.87</v>
          </cell>
        </row>
        <row r="208">
          <cell r="B208">
            <v>204</v>
          </cell>
          <cell r="C208">
            <v>438.30999999999989</v>
          </cell>
          <cell r="D208">
            <v>613.63</v>
          </cell>
          <cell r="F208">
            <v>266.21000000000004</v>
          </cell>
          <cell r="G208">
            <v>372.69</v>
          </cell>
        </row>
        <row r="209">
          <cell r="B209">
            <v>205</v>
          </cell>
          <cell r="C209">
            <v>440.45999999999987</v>
          </cell>
          <cell r="D209">
            <v>616.64</v>
          </cell>
          <cell r="F209">
            <v>267.51000000000005</v>
          </cell>
          <cell r="G209">
            <v>374.51</v>
          </cell>
        </row>
        <row r="210">
          <cell r="B210">
            <v>206</v>
          </cell>
          <cell r="C210">
            <v>442.60999999999984</v>
          </cell>
          <cell r="D210">
            <v>619.65</v>
          </cell>
          <cell r="F210">
            <v>268.81000000000006</v>
          </cell>
          <cell r="G210">
            <v>376.33</v>
          </cell>
        </row>
        <row r="211">
          <cell r="B211">
            <v>207</v>
          </cell>
          <cell r="C211">
            <v>444.75999999999982</v>
          </cell>
          <cell r="D211">
            <v>622.66</v>
          </cell>
          <cell r="F211">
            <v>270.11000000000007</v>
          </cell>
          <cell r="G211">
            <v>378.15</v>
          </cell>
        </row>
        <row r="212">
          <cell r="B212">
            <v>208</v>
          </cell>
          <cell r="C212">
            <v>446.9099999999998</v>
          </cell>
          <cell r="D212">
            <v>625.66999999999996</v>
          </cell>
          <cell r="F212">
            <v>271.41000000000008</v>
          </cell>
          <cell r="G212">
            <v>379.97</v>
          </cell>
        </row>
        <row r="213">
          <cell r="B213">
            <v>209</v>
          </cell>
          <cell r="C213">
            <v>449.05999999999977</v>
          </cell>
          <cell r="D213">
            <v>628.67999999999995</v>
          </cell>
          <cell r="F213">
            <v>272.71000000000009</v>
          </cell>
          <cell r="G213">
            <v>381.79</v>
          </cell>
        </row>
        <row r="214">
          <cell r="B214">
            <v>210</v>
          </cell>
          <cell r="C214">
            <v>451.20999999999975</v>
          </cell>
          <cell r="D214">
            <v>631.69000000000005</v>
          </cell>
          <cell r="F214">
            <v>274.0100000000001</v>
          </cell>
          <cell r="G214">
            <v>383.61</v>
          </cell>
        </row>
        <row r="215">
          <cell r="B215">
            <v>211</v>
          </cell>
          <cell r="C215">
            <v>453.35999999999973</v>
          </cell>
          <cell r="D215">
            <v>634.70000000000005</v>
          </cell>
          <cell r="F215">
            <v>275.31000000000012</v>
          </cell>
          <cell r="G215">
            <v>385.43</v>
          </cell>
        </row>
        <row r="216">
          <cell r="B216">
            <v>212</v>
          </cell>
          <cell r="C216">
            <v>455.50999999999971</v>
          </cell>
          <cell r="D216">
            <v>637.71</v>
          </cell>
          <cell r="F216">
            <v>276.61000000000013</v>
          </cell>
          <cell r="G216">
            <v>387.25</v>
          </cell>
        </row>
        <row r="217">
          <cell r="B217">
            <v>213</v>
          </cell>
          <cell r="C217">
            <v>457.65999999999968</v>
          </cell>
          <cell r="D217">
            <v>640.72</v>
          </cell>
          <cell r="F217">
            <v>277.91000000000014</v>
          </cell>
          <cell r="G217">
            <v>389.07</v>
          </cell>
        </row>
        <row r="218">
          <cell r="B218">
            <v>214</v>
          </cell>
          <cell r="C218">
            <v>459.80999999999966</v>
          </cell>
          <cell r="D218">
            <v>643.73</v>
          </cell>
          <cell r="F218">
            <v>279.21000000000015</v>
          </cell>
          <cell r="G218">
            <v>390.89</v>
          </cell>
        </row>
        <row r="219">
          <cell r="B219">
            <v>215</v>
          </cell>
          <cell r="C219">
            <v>461.95999999999964</v>
          </cell>
          <cell r="D219">
            <v>646.74</v>
          </cell>
          <cell r="F219">
            <v>280.51000000000016</v>
          </cell>
          <cell r="G219">
            <v>392.71</v>
          </cell>
        </row>
        <row r="220">
          <cell r="B220">
            <v>216</v>
          </cell>
          <cell r="C220">
            <v>464.10999999999962</v>
          </cell>
          <cell r="D220">
            <v>649.75</v>
          </cell>
          <cell r="F220">
            <v>281.81000000000017</v>
          </cell>
          <cell r="G220">
            <v>394.53</v>
          </cell>
        </row>
        <row r="221">
          <cell r="B221">
            <v>217</v>
          </cell>
          <cell r="C221">
            <v>466.25999999999959</v>
          </cell>
          <cell r="D221">
            <v>652.76</v>
          </cell>
          <cell r="F221">
            <v>283.11000000000018</v>
          </cell>
          <cell r="G221">
            <v>396.35</v>
          </cell>
        </row>
        <row r="222">
          <cell r="B222">
            <v>218</v>
          </cell>
          <cell r="C222">
            <v>468.40999999999957</v>
          </cell>
          <cell r="D222">
            <v>655.77</v>
          </cell>
          <cell r="F222">
            <v>284.4100000000002</v>
          </cell>
          <cell r="G222">
            <v>398.17</v>
          </cell>
        </row>
        <row r="223">
          <cell r="B223">
            <v>219</v>
          </cell>
          <cell r="C223">
            <v>470.55999999999955</v>
          </cell>
          <cell r="D223">
            <v>658.78</v>
          </cell>
          <cell r="F223">
            <v>285.71000000000021</v>
          </cell>
          <cell r="G223">
            <v>399.99</v>
          </cell>
        </row>
        <row r="224">
          <cell r="B224">
            <v>220</v>
          </cell>
          <cell r="C224">
            <v>472.70999999999952</v>
          </cell>
          <cell r="D224">
            <v>661.79</v>
          </cell>
          <cell r="F224">
            <v>287.01000000000022</v>
          </cell>
          <cell r="G224">
            <v>401.81</v>
          </cell>
        </row>
        <row r="225">
          <cell r="B225">
            <v>221</v>
          </cell>
          <cell r="C225">
            <v>474.8599999999995</v>
          </cell>
          <cell r="D225">
            <v>664.8</v>
          </cell>
          <cell r="F225">
            <v>288.31000000000023</v>
          </cell>
          <cell r="G225">
            <v>403.63</v>
          </cell>
        </row>
        <row r="226">
          <cell r="B226">
            <v>222</v>
          </cell>
          <cell r="C226">
            <v>477.00999999999948</v>
          </cell>
          <cell r="D226">
            <v>667.81</v>
          </cell>
          <cell r="F226">
            <v>289.61000000000024</v>
          </cell>
          <cell r="G226">
            <v>405.45</v>
          </cell>
        </row>
        <row r="227">
          <cell r="B227">
            <v>223</v>
          </cell>
          <cell r="C227">
            <v>479.15999999999946</v>
          </cell>
          <cell r="D227">
            <v>670.82</v>
          </cell>
          <cell r="F227">
            <v>290.91000000000025</v>
          </cell>
          <cell r="G227">
            <v>407.27</v>
          </cell>
        </row>
        <row r="228">
          <cell r="B228">
            <v>224</v>
          </cell>
          <cell r="C228">
            <v>481.30999999999943</v>
          </cell>
          <cell r="D228">
            <v>673.83</v>
          </cell>
          <cell r="F228">
            <v>292.21000000000026</v>
          </cell>
          <cell r="G228">
            <v>409.09</v>
          </cell>
        </row>
        <row r="229">
          <cell r="B229">
            <v>225</v>
          </cell>
          <cell r="C229">
            <v>483.45999999999941</v>
          </cell>
          <cell r="D229">
            <v>676.84</v>
          </cell>
          <cell r="F229">
            <v>293.51000000000028</v>
          </cell>
          <cell r="G229">
            <v>410.91</v>
          </cell>
        </row>
        <row r="230">
          <cell r="B230">
            <v>226</v>
          </cell>
          <cell r="C230">
            <v>485.60999999999939</v>
          </cell>
          <cell r="D230">
            <v>679.85</v>
          </cell>
          <cell r="F230">
            <v>294.81000000000029</v>
          </cell>
          <cell r="G230">
            <v>412.73</v>
          </cell>
        </row>
        <row r="231">
          <cell r="B231">
            <v>227</v>
          </cell>
          <cell r="C231">
            <v>487.75999999999937</v>
          </cell>
          <cell r="D231">
            <v>682.86</v>
          </cell>
          <cell r="F231">
            <v>296.1100000000003</v>
          </cell>
          <cell r="G231">
            <v>414.55</v>
          </cell>
        </row>
        <row r="232">
          <cell r="B232">
            <v>228</v>
          </cell>
          <cell r="C232">
            <v>489.90999999999934</v>
          </cell>
          <cell r="D232">
            <v>685.87</v>
          </cell>
          <cell r="F232">
            <v>297.41000000000031</v>
          </cell>
          <cell r="G232">
            <v>416.37</v>
          </cell>
        </row>
        <row r="233">
          <cell r="B233">
            <v>229</v>
          </cell>
          <cell r="C233">
            <v>492.05999999999932</v>
          </cell>
          <cell r="D233">
            <v>688.88</v>
          </cell>
          <cell r="F233">
            <v>298.71000000000032</v>
          </cell>
          <cell r="G233">
            <v>418.19</v>
          </cell>
        </row>
        <row r="234">
          <cell r="B234">
            <v>230</v>
          </cell>
          <cell r="C234">
            <v>494.2099999999993</v>
          </cell>
          <cell r="D234">
            <v>691.89</v>
          </cell>
          <cell r="F234">
            <v>300.01000000000033</v>
          </cell>
          <cell r="G234">
            <v>420.01</v>
          </cell>
        </row>
        <row r="235">
          <cell r="B235">
            <v>231</v>
          </cell>
          <cell r="C235">
            <v>496.35999999999927</v>
          </cell>
          <cell r="D235">
            <v>694.9</v>
          </cell>
          <cell r="F235">
            <v>301.31000000000034</v>
          </cell>
          <cell r="G235">
            <v>421.83</v>
          </cell>
        </row>
        <row r="236">
          <cell r="B236">
            <v>232</v>
          </cell>
          <cell r="C236">
            <v>498.50999999999925</v>
          </cell>
          <cell r="D236">
            <v>697.91</v>
          </cell>
          <cell r="F236">
            <v>302.61000000000035</v>
          </cell>
          <cell r="G236">
            <v>423.65</v>
          </cell>
        </row>
        <row r="237">
          <cell r="B237">
            <v>233</v>
          </cell>
          <cell r="C237">
            <v>500.65999999999923</v>
          </cell>
          <cell r="D237">
            <v>700.92</v>
          </cell>
          <cell r="F237">
            <v>303.91000000000037</v>
          </cell>
          <cell r="G237">
            <v>425.47</v>
          </cell>
        </row>
        <row r="238">
          <cell r="B238">
            <v>234</v>
          </cell>
          <cell r="C238">
            <v>502.80999999999921</v>
          </cell>
          <cell r="D238">
            <v>703.93</v>
          </cell>
          <cell r="F238">
            <v>305.21000000000038</v>
          </cell>
          <cell r="G238">
            <v>427.29</v>
          </cell>
        </row>
        <row r="239">
          <cell r="B239">
            <v>235</v>
          </cell>
          <cell r="C239">
            <v>504.95999999999918</v>
          </cell>
          <cell r="D239">
            <v>706.94</v>
          </cell>
          <cell r="F239">
            <v>306.51000000000039</v>
          </cell>
          <cell r="G239">
            <v>429.11</v>
          </cell>
        </row>
        <row r="240">
          <cell r="B240">
            <v>236</v>
          </cell>
          <cell r="C240">
            <v>507.10999999999916</v>
          </cell>
          <cell r="D240">
            <v>709.95</v>
          </cell>
          <cell r="F240">
            <v>307.8100000000004</v>
          </cell>
          <cell r="G240">
            <v>430.93</v>
          </cell>
        </row>
        <row r="241">
          <cell r="B241">
            <v>237</v>
          </cell>
          <cell r="C241">
            <v>509.25999999999914</v>
          </cell>
          <cell r="D241">
            <v>712.96</v>
          </cell>
          <cell r="F241">
            <v>309.11000000000041</v>
          </cell>
          <cell r="G241">
            <v>432.75</v>
          </cell>
        </row>
        <row r="242">
          <cell r="B242">
            <v>238</v>
          </cell>
          <cell r="C242">
            <v>511.40999999999912</v>
          </cell>
          <cell r="D242">
            <v>715.97</v>
          </cell>
          <cell r="F242">
            <v>310.41000000000042</v>
          </cell>
          <cell r="G242">
            <v>434.57</v>
          </cell>
        </row>
        <row r="243">
          <cell r="B243">
            <v>239</v>
          </cell>
          <cell r="C243">
            <v>513.55999999999915</v>
          </cell>
          <cell r="D243">
            <v>718.98</v>
          </cell>
          <cell r="F243">
            <v>311.71000000000043</v>
          </cell>
          <cell r="G243">
            <v>436.39</v>
          </cell>
        </row>
        <row r="244">
          <cell r="B244">
            <v>240</v>
          </cell>
          <cell r="C244">
            <v>515.70999999999913</v>
          </cell>
          <cell r="D244">
            <v>721.99</v>
          </cell>
          <cell r="F244">
            <v>313.01000000000045</v>
          </cell>
          <cell r="G244">
            <v>438.21</v>
          </cell>
        </row>
        <row r="245">
          <cell r="B245">
            <v>241</v>
          </cell>
          <cell r="C245">
            <v>517.8599999999991</v>
          </cell>
          <cell r="D245">
            <v>725</v>
          </cell>
          <cell r="F245">
            <v>314.31000000000046</v>
          </cell>
          <cell r="G245">
            <v>440.03</v>
          </cell>
        </row>
        <row r="246">
          <cell r="B246">
            <v>242</v>
          </cell>
          <cell r="C246">
            <v>520.00999999999908</v>
          </cell>
          <cell r="D246">
            <v>728.01</v>
          </cell>
          <cell r="F246">
            <v>315.61000000000047</v>
          </cell>
          <cell r="G246">
            <v>441.85</v>
          </cell>
        </row>
        <row r="247">
          <cell r="B247">
            <v>243</v>
          </cell>
          <cell r="C247">
            <v>522.15999999999906</v>
          </cell>
          <cell r="D247">
            <v>731.02</v>
          </cell>
          <cell r="F247">
            <v>316.91000000000048</v>
          </cell>
          <cell r="G247">
            <v>443.67</v>
          </cell>
        </row>
        <row r="248">
          <cell r="B248">
            <v>244</v>
          </cell>
          <cell r="C248">
            <v>524.30999999999904</v>
          </cell>
          <cell r="D248">
            <v>734.03</v>
          </cell>
          <cell r="F248">
            <v>318.21000000000049</v>
          </cell>
          <cell r="G248">
            <v>445.49</v>
          </cell>
        </row>
        <row r="249">
          <cell r="B249">
            <v>245</v>
          </cell>
          <cell r="C249">
            <v>526.45999999999901</v>
          </cell>
          <cell r="D249">
            <v>737.04</v>
          </cell>
          <cell r="F249">
            <v>319.5100000000005</v>
          </cell>
          <cell r="G249">
            <v>447.31</v>
          </cell>
        </row>
        <row r="250">
          <cell r="B250">
            <v>246</v>
          </cell>
          <cell r="C250">
            <v>528.60999999999899</v>
          </cell>
          <cell r="D250">
            <v>740.05</v>
          </cell>
          <cell r="F250">
            <v>320.81000000000051</v>
          </cell>
          <cell r="G250">
            <v>449.13</v>
          </cell>
        </row>
        <row r="251">
          <cell r="B251">
            <v>247</v>
          </cell>
          <cell r="C251">
            <v>530.75999999999897</v>
          </cell>
          <cell r="D251">
            <v>743.06</v>
          </cell>
          <cell r="F251">
            <v>322.11000000000053</v>
          </cell>
          <cell r="G251">
            <v>450.95</v>
          </cell>
        </row>
        <row r="252">
          <cell r="B252">
            <v>248</v>
          </cell>
          <cell r="C252">
            <v>532.90999999999894</v>
          </cell>
          <cell r="D252">
            <v>746.07</v>
          </cell>
          <cell r="F252">
            <v>323.41000000000054</v>
          </cell>
          <cell r="G252">
            <v>452.77</v>
          </cell>
        </row>
        <row r="253">
          <cell r="B253">
            <v>249</v>
          </cell>
          <cell r="C253">
            <v>535.05999999999892</v>
          </cell>
          <cell r="D253">
            <v>749.08</v>
          </cell>
          <cell r="F253">
            <v>324.71000000000055</v>
          </cell>
          <cell r="G253">
            <v>454.59</v>
          </cell>
        </row>
        <row r="254">
          <cell r="B254">
            <v>250</v>
          </cell>
          <cell r="C254">
            <v>537.2099999999989</v>
          </cell>
          <cell r="D254">
            <v>752.09</v>
          </cell>
          <cell r="F254">
            <v>326.01000000000056</v>
          </cell>
          <cell r="G254">
            <v>456.41</v>
          </cell>
        </row>
        <row r="255">
          <cell r="B255">
            <v>251</v>
          </cell>
          <cell r="C255">
            <v>539.35999999999888</v>
          </cell>
          <cell r="D255">
            <v>755.1</v>
          </cell>
          <cell r="F255">
            <v>327.31000000000057</v>
          </cell>
          <cell r="G255">
            <v>458.23</v>
          </cell>
        </row>
        <row r="256">
          <cell r="B256">
            <v>252</v>
          </cell>
          <cell r="C256">
            <v>541.50999999999885</v>
          </cell>
          <cell r="D256">
            <v>758.11</v>
          </cell>
          <cell r="F256">
            <v>328.61000000000058</v>
          </cell>
          <cell r="G256">
            <v>460.05</v>
          </cell>
        </row>
        <row r="257">
          <cell r="B257">
            <v>253</v>
          </cell>
          <cell r="C257">
            <v>543.65999999999883</v>
          </cell>
          <cell r="D257">
            <v>761.12</v>
          </cell>
          <cell r="F257">
            <v>329.91000000000059</v>
          </cell>
          <cell r="G257">
            <v>461.87</v>
          </cell>
        </row>
        <row r="258">
          <cell r="B258">
            <v>254</v>
          </cell>
          <cell r="C258">
            <v>545.80999999999881</v>
          </cell>
          <cell r="D258">
            <v>764.13</v>
          </cell>
          <cell r="F258">
            <v>331.2100000000006</v>
          </cell>
          <cell r="G258">
            <v>463.69</v>
          </cell>
        </row>
        <row r="259">
          <cell r="B259">
            <v>255</v>
          </cell>
          <cell r="C259">
            <v>547.95999999999879</v>
          </cell>
          <cell r="D259">
            <v>767.14</v>
          </cell>
          <cell r="F259">
            <v>332.51000000000062</v>
          </cell>
          <cell r="G259">
            <v>465.51</v>
          </cell>
        </row>
        <row r="260">
          <cell r="B260">
            <v>256</v>
          </cell>
          <cell r="C260">
            <v>550.10999999999876</v>
          </cell>
          <cell r="D260">
            <v>770.15</v>
          </cell>
          <cell r="F260">
            <v>333.81000000000063</v>
          </cell>
          <cell r="G260">
            <v>467.33</v>
          </cell>
        </row>
        <row r="261">
          <cell r="B261">
            <v>257</v>
          </cell>
          <cell r="C261">
            <v>552.25999999999874</v>
          </cell>
          <cell r="D261">
            <v>773.16</v>
          </cell>
          <cell r="F261">
            <v>335.11000000000064</v>
          </cell>
          <cell r="G261">
            <v>469.15</v>
          </cell>
        </row>
        <row r="262">
          <cell r="B262">
            <v>258</v>
          </cell>
          <cell r="C262">
            <v>554.40999999999872</v>
          </cell>
          <cell r="D262">
            <v>776.17</v>
          </cell>
          <cell r="F262">
            <v>336.41000000000065</v>
          </cell>
          <cell r="G262">
            <v>470.97</v>
          </cell>
        </row>
        <row r="263">
          <cell r="B263">
            <v>259</v>
          </cell>
          <cell r="C263">
            <v>556.55999999999869</v>
          </cell>
          <cell r="D263">
            <v>779.18</v>
          </cell>
          <cell r="F263">
            <v>337.71000000000066</v>
          </cell>
          <cell r="G263">
            <v>472.79</v>
          </cell>
        </row>
        <row r="264">
          <cell r="B264">
            <v>260</v>
          </cell>
          <cell r="C264">
            <v>558.70999999999867</v>
          </cell>
          <cell r="D264">
            <v>782.19</v>
          </cell>
          <cell r="F264">
            <v>339.01000000000067</v>
          </cell>
          <cell r="G264">
            <v>474.61</v>
          </cell>
        </row>
        <row r="265">
          <cell r="B265">
            <v>261</v>
          </cell>
          <cell r="C265">
            <v>560.85999999999865</v>
          </cell>
          <cell r="D265">
            <v>785.2</v>
          </cell>
          <cell r="F265">
            <v>340.31000000000068</v>
          </cell>
          <cell r="G265">
            <v>476.43</v>
          </cell>
        </row>
        <row r="266">
          <cell r="B266">
            <v>262</v>
          </cell>
          <cell r="C266">
            <v>563.00999999999863</v>
          </cell>
          <cell r="D266">
            <v>788.21</v>
          </cell>
          <cell r="F266">
            <v>341.6100000000007</v>
          </cell>
          <cell r="G266">
            <v>478.25</v>
          </cell>
        </row>
        <row r="267">
          <cell r="B267">
            <v>263</v>
          </cell>
          <cell r="C267">
            <v>565.1599999999986</v>
          </cell>
          <cell r="D267">
            <v>791.22</v>
          </cell>
          <cell r="F267">
            <v>342.91000000000071</v>
          </cell>
          <cell r="G267">
            <v>480.07</v>
          </cell>
        </row>
        <row r="268">
          <cell r="B268">
            <v>264</v>
          </cell>
          <cell r="C268">
            <v>567.30999999999858</v>
          </cell>
          <cell r="D268">
            <v>794.23</v>
          </cell>
          <cell r="F268">
            <v>344.21000000000072</v>
          </cell>
          <cell r="G268">
            <v>481.89</v>
          </cell>
        </row>
        <row r="269">
          <cell r="B269">
            <v>265</v>
          </cell>
          <cell r="C269">
            <v>569.45999999999856</v>
          </cell>
          <cell r="D269">
            <v>797.24</v>
          </cell>
          <cell r="F269">
            <v>345.51000000000073</v>
          </cell>
          <cell r="G269">
            <v>483.71</v>
          </cell>
        </row>
        <row r="270">
          <cell r="B270">
            <v>266</v>
          </cell>
          <cell r="C270">
            <v>571.60999999999854</v>
          </cell>
          <cell r="D270">
            <v>800.25</v>
          </cell>
          <cell r="F270">
            <v>346.81000000000074</v>
          </cell>
          <cell r="G270">
            <v>485.53</v>
          </cell>
        </row>
        <row r="271">
          <cell r="B271">
            <v>267</v>
          </cell>
          <cell r="C271">
            <v>573.75999999999851</v>
          </cell>
          <cell r="D271">
            <v>803.26</v>
          </cell>
          <cell r="F271">
            <v>348.11000000000075</v>
          </cell>
          <cell r="G271">
            <v>487.35</v>
          </cell>
        </row>
        <row r="272">
          <cell r="B272">
            <v>268</v>
          </cell>
          <cell r="C272">
            <v>575.90999999999849</v>
          </cell>
          <cell r="D272">
            <v>806.27</v>
          </cell>
          <cell r="F272">
            <v>349.41000000000076</v>
          </cell>
          <cell r="G272">
            <v>489.17</v>
          </cell>
        </row>
        <row r="273">
          <cell r="B273">
            <v>269</v>
          </cell>
          <cell r="C273">
            <v>578.05999999999847</v>
          </cell>
          <cell r="D273">
            <v>809.28</v>
          </cell>
          <cell r="F273">
            <v>350.71000000000078</v>
          </cell>
          <cell r="G273">
            <v>490.99</v>
          </cell>
        </row>
        <row r="274">
          <cell r="B274">
            <v>270</v>
          </cell>
          <cell r="C274">
            <v>580.20999999999844</v>
          </cell>
          <cell r="D274">
            <v>812.29</v>
          </cell>
          <cell r="F274">
            <v>352.01000000000079</v>
          </cell>
          <cell r="G274">
            <v>492.81</v>
          </cell>
        </row>
        <row r="275">
          <cell r="B275">
            <v>271</v>
          </cell>
          <cell r="C275">
            <v>582.35999999999842</v>
          </cell>
          <cell r="D275">
            <v>815.3</v>
          </cell>
          <cell r="F275">
            <v>353.3100000000008</v>
          </cell>
          <cell r="G275">
            <v>494.63</v>
          </cell>
        </row>
        <row r="276">
          <cell r="B276">
            <v>272</v>
          </cell>
          <cell r="C276">
            <v>584.5099999999984</v>
          </cell>
          <cell r="D276">
            <v>818.31</v>
          </cell>
          <cell r="F276">
            <v>354.61000000000081</v>
          </cell>
          <cell r="G276">
            <v>496.45</v>
          </cell>
        </row>
        <row r="277">
          <cell r="B277">
            <v>273</v>
          </cell>
          <cell r="C277">
            <v>586.65999999999838</v>
          </cell>
          <cell r="D277">
            <v>821.32</v>
          </cell>
          <cell r="F277">
            <v>355.91000000000082</v>
          </cell>
          <cell r="G277">
            <v>498.27</v>
          </cell>
        </row>
        <row r="278">
          <cell r="B278">
            <v>274</v>
          </cell>
          <cell r="C278">
            <v>588.80999999999835</v>
          </cell>
          <cell r="D278">
            <v>824.33</v>
          </cell>
          <cell r="F278">
            <v>357.21000000000083</v>
          </cell>
          <cell r="G278">
            <v>500.09</v>
          </cell>
        </row>
        <row r="279">
          <cell r="B279">
            <v>275</v>
          </cell>
          <cell r="C279">
            <v>590.95999999999833</v>
          </cell>
          <cell r="D279">
            <v>827.34</v>
          </cell>
          <cell r="F279">
            <v>358.51000000000084</v>
          </cell>
          <cell r="G279">
            <v>501.91</v>
          </cell>
        </row>
        <row r="280">
          <cell r="B280">
            <v>276</v>
          </cell>
          <cell r="C280">
            <v>593.10999999999831</v>
          </cell>
          <cell r="D280">
            <v>830.35</v>
          </cell>
          <cell r="F280">
            <v>359.81000000000085</v>
          </cell>
          <cell r="G280">
            <v>503.73</v>
          </cell>
        </row>
        <row r="281">
          <cell r="B281">
            <v>277</v>
          </cell>
          <cell r="C281">
            <v>595.25999999999829</v>
          </cell>
          <cell r="D281">
            <v>833.36</v>
          </cell>
          <cell r="F281">
            <v>361.11000000000087</v>
          </cell>
          <cell r="G281">
            <v>505.55</v>
          </cell>
        </row>
        <row r="282">
          <cell r="B282">
            <v>278</v>
          </cell>
          <cell r="C282">
            <v>597.40999999999826</v>
          </cell>
          <cell r="D282">
            <v>836.37</v>
          </cell>
          <cell r="F282">
            <v>362.41000000000088</v>
          </cell>
          <cell r="G282">
            <v>507.37</v>
          </cell>
        </row>
        <row r="283">
          <cell r="B283">
            <v>279</v>
          </cell>
          <cell r="C283">
            <v>599.55999999999824</v>
          </cell>
          <cell r="D283">
            <v>839.38</v>
          </cell>
          <cell r="F283">
            <v>363.71000000000089</v>
          </cell>
          <cell r="G283">
            <v>509.19</v>
          </cell>
        </row>
        <row r="284">
          <cell r="B284">
            <v>280</v>
          </cell>
          <cell r="C284">
            <v>601.70999999999822</v>
          </cell>
          <cell r="D284">
            <v>842.39</v>
          </cell>
          <cell r="F284">
            <v>365.0100000000009</v>
          </cell>
          <cell r="G284">
            <v>511.01</v>
          </cell>
        </row>
        <row r="285">
          <cell r="B285">
            <v>281</v>
          </cell>
          <cell r="C285">
            <v>603.85999999999819</v>
          </cell>
          <cell r="D285">
            <v>845.4</v>
          </cell>
          <cell r="F285">
            <v>366.31000000000091</v>
          </cell>
          <cell r="G285">
            <v>512.83000000000004</v>
          </cell>
        </row>
        <row r="286">
          <cell r="B286">
            <v>282</v>
          </cell>
          <cell r="C286">
            <v>606.00999999999817</v>
          </cell>
          <cell r="D286">
            <v>848.41</v>
          </cell>
          <cell r="F286">
            <v>367.61000000000092</v>
          </cell>
          <cell r="G286">
            <v>514.65</v>
          </cell>
        </row>
        <row r="287">
          <cell r="B287">
            <v>283</v>
          </cell>
          <cell r="C287">
            <v>608.15999999999815</v>
          </cell>
          <cell r="D287">
            <v>851.42</v>
          </cell>
          <cell r="F287">
            <v>368.91000000000093</v>
          </cell>
          <cell r="G287">
            <v>516.47</v>
          </cell>
        </row>
        <row r="288">
          <cell r="B288">
            <v>284</v>
          </cell>
          <cell r="C288">
            <v>610.30999999999813</v>
          </cell>
          <cell r="D288">
            <v>854.43</v>
          </cell>
          <cell r="F288">
            <v>370.21000000000095</v>
          </cell>
          <cell r="G288">
            <v>518.29</v>
          </cell>
        </row>
        <row r="289">
          <cell r="B289">
            <v>285</v>
          </cell>
          <cell r="C289">
            <v>612.4599999999981</v>
          </cell>
          <cell r="D289">
            <v>857.44</v>
          </cell>
          <cell r="F289">
            <v>371.51000000000096</v>
          </cell>
          <cell r="G289">
            <v>520.11</v>
          </cell>
        </row>
        <row r="290">
          <cell r="B290">
            <v>286</v>
          </cell>
          <cell r="C290">
            <v>614.60999999999808</v>
          </cell>
          <cell r="D290">
            <v>860.45</v>
          </cell>
          <cell r="F290">
            <v>372.81000000000097</v>
          </cell>
          <cell r="G290">
            <v>521.92999999999995</v>
          </cell>
        </row>
        <row r="291">
          <cell r="B291">
            <v>287</v>
          </cell>
          <cell r="C291">
            <v>616.75999999999806</v>
          </cell>
          <cell r="D291">
            <v>863.46</v>
          </cell>
          <cell r="F291">
            <v>374.11000000000098</v>
          </cell>
          <cell r="G291">
            <v>523.75</v>
          </cell>
        </row>
        <row r="292">
          <cell r="B292">
            <v>288</v>
          </cell>
          <cell r="C292">
            <v>618.90999999999804</v>
          </cell>
          <cell r="D292">
            <v>866.47</v>
          </cell>
          <cell r="F292">
            <v>375.41000000000099</v>
          </cell>
          <cell r="G292">
            <v>525.57000000000005</v>
          </cell>
        </row>
        <row r="293">
          <cell r="B293">
            <v>289</v>
          </cell>
          <cell r="C293">
            <v>621.05999999999801</v>
          </cell>
          <cell r="D293">
            <v>869.48</v>
          </cell>
          <cell r="F293">
            <v>376.710000000001</v>
          </cell>
          <cell r="G293">
            <v>527.39</v>
          </cell>
        </row>
        <row r="294">
          <cell r="B294">
            <v>290</v>
          </cell>
          <cell r="C294">
            <v>623.20999999999799</v>
          </cell>
          <cell r="D294">
            <v>872.49</v>
          </cell>
          <cell r="F294">
            <v>378.01000000000101</v>
          </cell>
          <cell r="G294">
            <v>529.21</v>
          </cell>
        </row>
        <row r="295">
          <cell r="B295">
            <v>291</v>
          </cell>
          <cell r="C295">
            <v>625.35999999999797</v>
          </cell>
          <cell r="D295">
            <v>875.5</v>
          </cell>
          <cell r="F295">
            <v>379.31000000000103</v>
          </cell>
          <cell r="G295">
            <v>531.03</v>
          </cell>
        </row>
        <row r="296">
          <cell r="B296">
            <v>292</v>
          </cell>
          <cell r="C296">
            <v>627.50999999999794</v>
          </cell>
          <cell r="D296">
            <v>878.51</v>
          </cell>
          <cell r="F296">
            <v>380.61000000000104</v>
          </cell>
          <cell r="G296">
            <v>532.85</v>
          </cell>
        </row>
        <row r="297">
          <cell r="B297">
            <v>293</v>
          </cell>
          <cell r="C297">
            <v>629.65999999999792</v>
          </cell>
          <cell r="D297">
            <v>881.52</v>
          </cell>
          <cell r="F297">
            <v>381.91000000000105</v>
          </cell>
          <cell r="G297">
            <v>534.66999999999996</v>
          </cell>
        </row>
        <row r="298">
          <cell r="B298">
            <v>294</v>
          </cell>
          <cell r="C298">
            <v>631.8099999999979</v>
          </cell>
          <cell r="D298">
            <v>884.53</v>
          </cell>
          <cell r="F298">
            <v>383.21000000000106</v>
          </cell>
          <cell r="G298">
            <v>536.49</v>
          </cell>
        </row>
        <row r="299">
          <cell r="B299">
            <v>295</v>
          </cell>
          <cell r="C299">
            <v>633.95999999999788</v>
          </cell>
          <cell r="D299">
            <v>887.54</v>
          </cell>
          <cell r="F299">
            <v>384.51000000000107</v>
          </cell>
          <cell r="G299">
            <v>538.30999999999995</v>
          </cell>
        </row>
        <row r="300">
          <cell r="B300">
            <v>296</v>
          </cell>
          <cell r="C300">
            <v>636.10999999999785</v>
          </cell>
          <cell r="D300">
            <v>890.55</v>
          </cell>
          <cell r="F300">
            <v>385.81000000000108</v>
          </cell>
          <cell r="G300">
            <v>540.13</v>
          </cell>
        </row>
        <row r="301">
          <cell r="B301">
            <v>297</v>
          </cell>
          <cell r="C301">
            <v>638.25999999999783</v>
          </cell>
          <cell r="D301">
            <v>893.56</v>
          </cell>
          <cell r="F301">
            <v>387.11000000000109</v>
          </cell>
          <cell r="G301">
            <v>541.95000000000005</v>
          </cell>
        </row>
        <row r="302">
          <cell r="B302">
            <v>298</v>
          </cell>
          <cell r="C302">
            <v>640.40999999999781</v>
          </cell>
          <cell r="D302">
            <v>896.57</v>
          </cell>
          <cell r="F302">
            <v>388.41000000000111</v>
          </cell>
          <cell r="G302">
            <v>543.77</v>
          </cell>
        </row>
        <row r="303">
          <cell r="B303">
            <v>299</v>
          </cell>
          <cell r="C303">
            <v>642.55999999999779</v>
          </cell>
          <cell r="D303">
            <v>899.58</v>
          </cell>
          <cell r="F303">
            <v>389.71000000000112</v>
          </cell>
          <cell r="G303">
            <v>545.59</v>
          </cell>
        </row>
        <row r="304">
          <cell r="B304">
            <v>300</v>
          </cell>
          <cell r="C304">
            <v>644.70999999999776</v>
          </cell>
          <cell r="D304">
            <v>902.59</v>
          </cell>
          <cell r="F304">
            <v>391.01000000000113</v>
          </cell>
          <cell r="G304">
            <v>547.41</v>
          </cell>
        </row>
        <row r="305">
          <cell r="B305">
            <v>301</v>
          </cell>
          <cell r="C305">
            <v>646.85999999999774</v>
          </cell>
          <cell r="D305">
            <v>905.6</v>
          </cell>
          <cell r="F305">
            <v>392.31000000000114</v>
          </cell>
          <cell r="G305">
            <v>549.23</v>
          </cell>
        </row>
        <row r="306">
          <cell r="B306">
            <v>302</v>
          </cell>
          <cell r="C306">
            <v>649.00999999999772</v>
          </cell>
          <cell r="D306">
            <v>908.61</v>
          </cell>
          <cell r="F306">
            <v>393.61000000000115</v>
          </cell>
          <cell r="G306">
            <v>551.04999999999995</v>
          </cell>
        </row>
        <row r="307">
          <cell r="B307">
            <v>303</v>
          </cell>
          <cell r="C307">
            <v>651.15999999999769</v>
          </cell>
          <cell r="D307">
            <v>911.62</v>
          </cell>
          <cell r="F307">
            <v>394.91000000000116</v>
          </cell>
          <cell r="G307">
            <v>552.87</v>
          </cell>
        </row>
        <row r="308">
          <cell r="B308">
            <v>304</v>
          </cell>
          <cell r="C308">
            <v>653.30999999999767</v>
          </cell>
          <cell r="D308">
            <v>914.63</v>
          </cell>
          <cell r="F308">
            <v>396.21000000000117</v>
          </cell>
          <cell r="G308">
            <v>554.69000000000005</v>
          </cell>
        </row>
        <row r="309">
          <cell r="B309">
            <v>305</v>
          </cell>
          <cell r="C309">
            <v>655.45999999999765</v>
          </cell>
          <cell r="D309">
            <v>917.64</v>
          </cell>
          <cell r="F309">
            <v>397.51000000000118</v>
          </cell>
          <cell r="G309">
            <v>556.51</v>
          </cell>
        </row>
        <row r="310">
          <cell r="B310">
            <v>306</v>
          </cell>
          <cell r="C310">
            <v>657.60999999999763</v>
          </cell>
          <cell r="D310">
            <v>920.65</v>
          </cell>
          <cell r="F310">
            <v>398.8100000000012</v>
          </cell>
          <cell r="G310">
            <v>558.33000000000004</v>
          </cell>
        </row>
        <row r="311">
          <cell r="B311">
            <v>307</v>
          </cell>
          <cell r="C311">
            <v>659.7599999999976</v>
          </cell>
          <cell r="D311">
            <v>923.66</v>
          </cell>
          <cell r="F311">
            <v>400.11000000000121</v>
          </cell>
          <cell r="G311">
            <v>560.15</v>
          </cell>
        </row>
        <row r="312">
          <cell r="B312">
            <v>308</v>
          </cell>
          <cell r="C312">
            <v>661.90999999999758</v>
          </cell>
          <cell r="D312">
            <v>926.67</v>
          </cell>
          <cell r="F312">
            <v>401.41000000000122</v>
          </cell>
          <cell r="G312">
            <v>561.97</v>
          </cell>
        </row>
        <row r="313">
          <cell r="B313">
            <v>309</v>
          </cell>
          <cell r="C313">
            <v>664.05999999999756</v>
          </cell>
          <cell r="D313">
            <v>929.68</v>
          </cell>
          <cell r="F313">
            <v>402.71000000000123</v>
          </cell>
          <cell r="G313">
            <v>563.79</v>
          </cell>
        </row>
        <row r="314">
          <cell r="B314">
            <v>310</v>
          </cell>
          <cell r="C314">
            <v>666.20999999999754</v>
          </cell>
          <cell r="D314">
            <v>932.69</v>
          </cell>
          <cell r="F314">
            <v>404.01000000000124</v>
          </cell>
          <cell r="G314">
            <v>565.61</v>
          </cell>
        </row>
        <row r="315">
          <cell r="B315">
            <v>311</v>
          </cell>
          <cell r="C315">
            <v>668.35999999999751</v>
          </cell>
          <cell r="D315">
            <v>935.7</v>
          </cell>
          <cell r="F315">
            <v>405.31000000000125</v>
          </cell>
          <cell r="G315">
            <v>567.42999999999995</v>
          </cell>
        </row>
        <row r="316">
          <cell r="B316">
            <v>312</v>
          </cell>
          <cell r="C316">
            <v>670.50999999999749</v>
          </cell>
          <cell r="D316">
            <v>938.71</v>
          </cell>
          <cell r="F316">
            <v>406.61000000000126</v>
          </cell>
          <cell r="G316">
            <v>569.25</v>
          </cell>
        </row>
        <row r="317">
          <cell r="B317">
            <v>313</v>
          </cell>
          <cell r="C317">
            <v>672.65999999999747</v>
          </cell>
          <cell r="D317">
            <v>941.72</v>
          </cell>
          <cell r="F317">
            <v>407.91000000000128</v>
          </cell>
          <cell r="G317">
            <v>571.07000000000005</v>
          </cell>
        </row>
        <row r="318">
          <cell r="B318">
            <v>314</v>
          </cell>
          <cell r="C318">
            <v>674.80999999999744</v>
          </cell>
          <cell r="D318">
            <v>944.73</v>
          </cell>
          <cell r="F318">
            <v>409.21000000000129</v>
          </cell>
          <cell r="G318">
            <v>572.89</v>
          </cell>
        </row>
        <row r="319">
          <cell r="B319">
            <v>315</v>
          </cell>
          <cell r="C319">
            <v>676.95999999999742</v>
          </cell>
          <cell r="D319">
            <v>947.74</v>
          </cell>
          <cell r="F319">
            <v>410.5100000000013</v>
          </cell>
          <cell r="G319">
            <v>574.71</v>
          </cell>
        </row>
        <row r="320">
          <cell r="B320">
            <v>316</v>
          </cell>
          <cell r="C320">
            <v>679.1099999999974</v>
          </cell>
          <cell r="D320">
            <v>950.75</v>
          </cell>
          <cell r="F320">
            <v>411.81000000000131</v>
          </cell>
          <cell r="G320">
            <v>576.53</v>
          </cell>
        </row>
        <row r="321">
          <cell r="B321">
            <v>317</v>
          </cell>
          <cell r="C321">
            <v>681.25999999999738</v>
          </cell>
          <cell r="D321">
            <v>953.76</v>
          </cell>
          <cell r="F321">
            <v>413.11000000000132</v>
          </cell>
          <cell r="G321">
            <v>578.35</v>
          </cell>
        </row>
        <row r="322">
          <cell r="B322">
            <v>318</v>
          </cell>
          <cell r="C322">
            <v>683.40999999999735</v>
          </cell>
          <cell r="D322">
            <v>956.77</v>
          </cell>
          <cell r="F322">
            <v>414.41000000000133</v>
          </cell>
          <cell r="G322">
            <v>580.16999999999996</v>
          </cell>
        </row>
        <row r="323">
          <cell r="B323">
            <v>319</v>
          </cell>
          <cell r="C323">
            <v>685.55999999999733</v>
          </cell>
          <cell r="D323">
            <v>959.78</v>
          </cell>
          <cell r="F323">
            <v>415.71000000000134</v>
          </cell>
          <cell r="G323">
            <v>581.99</v>
          </cell>
        </row>
        <row r="324">
          <cell r="B324">
            <v>320</v>
          </cell>
          <cell r="C324">
            <v>687.70999999999731</v>
          </cell>
          <cell r="D324">
            <v>962.79</v>
          </cell>
          <cell r="F324">
            <v>417.01000000000136</v>
          </cell>
          <cell r="G324">
            <v>583.80999999999995</v>
          </cell>
        </row>
        <row r="325">
          <cell r="B325">
            <v>321</v>
          </cell>
          <cell r="C325">
            <v>689.85999999999729</v>
          </cell>
          <cell r="D325">
            <v>965.8</v>
          </cell>
          <cell r="F325">
            <v>418.31000000000137</v>
          </cell>
          <cell r="G325">
            <v>585.63</v>
          </cell>
        </row>
        <row r="326">
          <cell r="B326">
            <v>322</v>
          </cell>
          <cell r="C326">
            <v>692.00999999999726</v>
          </cell>
          <cell r="D326">
            <v>968.81</v>
          </cell>
          <cell r="F326">
            <v>419.61000000000138</v>
          </cell>
          <cell r="G326">
            <v>587.45000000000005</v>
          </cell>
        </row>
        <row r="327">
          <cell r="B327">
            <v>323</v>
          </cell>
          <cell r="C327">
            <v>694.15999999999724</v>
          </cell>
          <cell r="D327">
            <v>971.82</v>
          </cell>
          <cell r="F327">
            <v>420.91000000000139</v>
          </cell>
          <cell r="G327">
            <v>589.27</v>
          </cell>
        </row>
        <row r="328">
          <cell r="B328">
            <v>324</v>
          </cell>
          <cell r="C328">
            <v>696.30999999999722</v>
          </cell>
          <cell r="D328">
            <v>974.83</v>
          </cell>
          <cell r="F328">
            <v>422.2100000000014</v>
          </cell>
          <cell r="G328">
            <v>591.09</v>
          </cell>
        </row>
        <row r="329">
          <cell r="B329">
            <v>325</v>
          </cell>
          <cell r="C329">
            <v>698.45999999999719</v>
          </cell>
          <cell r="D329">
            <v>977.84</v>
          </cell>
          <cell r="F329">
            <v>423.51000000000141</v>
          </cell>
          <cell r="G329">
            <v>592.91</v>
          </cell>
        </row>
        <row r="330">
          <cell r="B330">
            <v>326</v>
          </cell>
          <cell r="C330">
            <v>700.60999999999717</v>
          </cell>
          <cell r="D330">
            <v>980.85</v>
          </cell>
          <cell r="F330">
            <v>424.81000000000142</v>
          </cell>
          <cell r="G330">
            <v>594.73</v>
          </cell>
        </row>
        <row r="331">
          <cell r="B331">
            <v>327</v>
          </cell>
          <cell r="C331">
            <v>702.75999999999715</v>
          </cell>
          <cell r="D331">
            <v>983.86</v>
          </cell>
          <cell r="F331">
            <v>426.11000000000143</v>
          </cell>
          <cell r="G331">
            <v>596.54999999999995</v>
          </cell>
        </row>
        <row r="332">
          <cell r="B332">
            <v>328</v>
          </cell>
          <cell r="C332">
            <v>704.90999999999713</v>
          </cell>
          <cell r="D332">
            <v>986.87</v>
          </cell>
          <cell r="F332">
            <v>427.41000000000145</v>
          </cell>
          <cell r="G332">
            <v>598.37</v>
          </cell>
        </row>
        <row r="333">
          <cell r="B333">
            <v>329</v>
          </cell>
          <cell r="C333">
            <v>707.0599999999971</v>
          </cell>
          <cell r="D333">
            <v>989.88</v>
          </cell>
          <cell r="F333">
            <v>428.71000000000146</v>
          </cell>
          <cell r="G333">
            <v>600.19000000000005</v>
          </cell>
        </row>
        <row r="334">
          <cell r="B334">
            <v>330</v>
          </cell>
          <cell r="C334">
            <v>709.20999999999708</v>
          </cell>
          <cell r="D334">
            <v>992.89</v>
          </cell>
          <cell r="F334">
            <v>430.01000000000147</v>
          </cell>
          <cell r="G334">
            <v>602.01</v>
          </cell>
        </row>
        <row r="335">
          <cell r="B335">
            <v>331</v>
          </cell>
          <cell r="C335">
            <v>711.35999999999706</v>
          </cell>
          <cell r="D335">
            <v>995.9</v>
          </cell>
          <cell r="F335">
            <v>431.31000000000148</v>
          </cell>
          <cell r="G335">
            <v>603.83000000000004</v>
          </cell>
        </row>
        <row r="336">
          <cell r="B336">
            <v>332</v>
          </cell>
          <cell r="C336">
            <v>713.50999999999704</v>
          </cell>
          <cell r="D336">
            <v>998.91</v>
          </cell>
          <cell r="F336">
            <v>432.61000000000149</v>
          </cell>
          <cell r="G336">
            <v>605.65</v>
          </cell>
        </row>
        <row r="337">
          <cell r="B337">
            <v>333</v>
          </cell>
          <cell r="C337">
            <v>715.65999999999701</v>
          </cell>
          <cell r="D337">
            <v>1001.92</v>
          </cell>
          <cell r="F337">
            <v>433.9100000000015</v>
          </cell>
          <cell r="G337">
            <v>607.47</v>
          </cell>
        </row>
        <row r="338">
          <cell r="B338">
            <v>334</v>
          </cell>
          <cell r="C338">
            <v>717.80999999999699</v>
          </cell>
          <cell r="D338">
            <v>1004.93</v>
          </cell>
          <cell r="F338">
            <v>435.21000000000151</v>
          </cell>
          <cell r="G338">
            <v>609.29</v>
          </cell>
        </row>
        <row r="339">
          <cell r="B339">
            <v>335</v>
          </cell>
          <cell r="C339">
            <v>719.95999999999697</v>
          </cell>
          <cell r="D339">
            <v>1007.94</v>
          </cell>
          <cell r="F339">
            <v>436.51000000000153</v>
          </cell>
          <cell r="G339">
            <v>611.11</v>
          </cell>
        </row>
        <row r="340">
          <cell r="B340">
            <v>336</v>
          </cell>
          <cell r="C340">
            <v>722.10999999999694</v>
          </cell>
          <cell r="D340">
            <v>1010.95</v>
          </cell>
          <cell r="F340">
            <v>437.81000000000154</v>
          </cell>
          <cell r="G340">
            <v>612.92999999999995</v>
          </cell>
        </row>
        <row r="341">
          <cell r="B341">
            <v>337</v>
          </cell>
          <cell r="C341">
            <v>724.25999999999692</v>
          </cell>
          <cell r="D341">
            <v>1013.96</v>
          </cell>
          <cell r="F341">
            <v>439.11000000000155</v>
          </cell>
          <cell r="G341">
            <v>614.75</v>
          </cell>
        </row>
        <row r="342">
          <cell r="B342">
            <v>338</v>
          </cell>
          <cell r="C342">
            <v>726.4099999999969</v>
          </cell>
          <cell r="D342">
            <v>1016.97</v>
          </cell>
          <cell r="F342">
            <v>440.41000000000156</v>
          </cell>
          <cell r="G342">
            <v>616.57000000000005</v>
          </cell>
        </row>
        <row r="343">
          <cell r="B343">
            <v>339</v>
          </cell>
          <cell r="C343">
            <v>728.55999999999688</v>
          </cell>
          <cell r="D343">
            <v>1019.98</v>
          </cell>
          <cell r="F343">
            <v>441.71000000000157</v>
          </cell>
          <cell r="G343">
            <v>618.39</v>
          </cell>
        </row>
        <row r="344">
          <cell r="B344">
            <v>340</v>
          </cell>
          <cell r="C344">
            <v>730.70999999999685</v>
          </cell>
          <cell r="D344">
            <v>1022.99</v>
          </cell>
          <cell r="F344">
            <v>443.01000000000158</v>
          </cell>
          <cell r="G344">
            <v>620.21</v>
          </cell>
        </row>
        <row r="345">
          <cell r="B345">
            <v>341</v>
          </cell>
          <cell r="C345">
            <v>732.85999999999683</v>
          </cell>
          <cell r="D345">
            <v>1026</v>
          </cell>
          <cell r="F345">
            <v>444.31000000000159</v>
          </cell>
          <cell r="G345">
            <v>622.03</v>
          </cell>
        </row>
        <row r="346">
          <cell r="B346">
            <v>342</v>
          </cell>
          <cell r="C346">
            <v>735.00999999999681</v>
          </cell>
          <cell r="D346">
            <v>1029.01</v>
          </cell>
          <cell r="F346">
            <v>445.61000000000161</v>
          </cell>
          <cell r="G346">
            <v>623.85</v>
          </cell>
        </row>
        <row r="347">
          <cell r="B347">
            <v>343</v>
          </cell>
          <cell r="C347">
            <v>737.15999999999678</v>
          </cell>
          <cell r="D347">
            <v>1032.02</v>
          </cell>
          <cell r="F347">
            <v>446.91000000000162</v>
          </cell>
          <cell r="G347">
            <v>625.66999999999996</v>
          </cell>
        </row>
        <row r="348">
          <cell r="B348">
            <v>344</v>
          </cell>
          <cell r="C348">
            <v>739.30999999999676</v>
          </cell>
          <cell r="D348">
            <v>1035.03</v>
          </cell>
          <cell r="F348">
            <v>448.21000000000163</v>
          </cell>
          <cell r="G348">
            <v>627.49</v>
          </cell>
        </row>
        <row r="349">
          <cell r="B349">
            <v>345</v>
          </cell>
          <cell r="C349">
            <v>741.45999999999674</v>
          </cell>
          <cell r="D349">
            <v>1038.04</v>
          </cell>
          <cell r="F349">
            <v>449.51000000000164</v>
          </cell>
          <cell r="G349">
            <v>629.30999999999995</v>
          </cell>
        </row>
        <row r="350">
          <cell r="B350">
            <v>346</v>
          </cell>
          <cell r="C350">
            <v>743.60999999999672</v>
          </cell>
          <cell r="D350">
            <v>1041.05</v>
          </cell>
          <cell r="F350">
            <v>450.81000000000165</v>
          </cell>
          <cell r="G350">
            <v>631.13</v>
          </cell>
        </row>
        <row r="351">
          <cell r="B351">
            <v>347</v>
          </cell>
          <cell r="C351">
            <v>745.75999999999669</v>
          </cell>
          <cell r="D351">
            <v>1044.06</v>
          </cell>
          <cell r="F351">
            <v>452.11000000000166</v>
          </cell>
          <cell r="G351">
            <v>632.95000000000005</v>
          </cell>
        </row>
        <row r="352">
          <cell r="B352">
            <v>348</v>
          </cell>
          <cell r="C352">
            <v>747.90999999999667</v>
          </cell>
          <cell r="D352">
            <v>1047.07</v>
          </cell>
          <cell r="F352">
            <v>453.41000000000167</v>
          </cell>
          <cell r="G352">
            <v>634.77</v>
          </cell>
        </row>
        <row r="353">
          <cell r="B353">
            <v>349</v>
          </cell>
          <cell r="C353">
            <v>750.05999999999665</v>
          </cell>
          <cell r="D353">
            <v>1050.08</v>
          </cell>
          <cell r="F353">
            <v>454.71000000000168</v>
          </cell>
          <cell r="G353">
            <v>636.59</v>
          </cell>
        </row>
        <row r="354">
          <cell r="B354">
            <v>350</v>
          </cell>
          <cell r="C354">
            <v>752.20999999999663</v>
          </cell>
          <cell r="D354">
            <v>1053.0899999999999</v>
          </cell>
          <cell r="F354">
            <v>456.0100000000017</v>
          </cell>
          <cell r="G354">
            <v>638.41</v>
          </cell>
        </row>
        <row r="355">
          <cell r="B355">
            <v>351</v>
          </cell>
          <cell r="C355">
            <v>754.3599999999966</v>
          </cell>
          <cell r="D355">
            <v>1056.0999999999999</v>
          </cell>
          <cell r="F355">
            <v>457.31000000000171</v>
          </cell>
          <cell r="G355">
            <v>640.23</v>
          </cell>
        </row>
        <row r="356">
          <cell r="B356">
            <v>352</v>
          </cell>
          <cell r="C356">
            <v>756.50999999999658</v>
          </cell>
          <cell r="D356">
            <v>1059.1099999999999</v>
          </cell>
          <cell r="F356">
            <v>458.61000000000172</v>
          </cell>
          <cell r="G356">
            <v>642.04999999999995</v>
          </cell>
        </row>
        <row r="357">
          <cell r="B357">
            <v>353</v>
          </cell>
          <cell r="C357">
            <v>758.65999999999656</v>
          </cell>
          <cell r="D357">
            <v>1062.1199999999999</v>
          </cell>
          <cell r="F357">
            <v>459.91000000000173</v>
          </cell>
          <cell r="G357">
            <v>643.87</v>
          </cell>
        </row>
        <row r="358">
          <cell r="B358">
            <v>354</v>
          </cell>
          <cell r="C358">
            <v>760.80999999999653</v>
          </cell>
          <cell r="D358">
            <v>1065.1300000000001</v>
          </cell>
          <cell r="F358">
            <v>461.21000000000174</v>
          </cell>
          <cell r="G358">
            <v>645.69000000000005</v>
          </cell>
        </row>
        <row r="359">
          <cell r="B359">
            <v>355</v>
          </cell>
          <cell r="C359">
            <v>762.95999999999651</v>
          </cell>
          <cell r="D359">
            <v>1068.1400000000001</v>
          </cell>
          <cell r="F359">
            <v>462.51000000000175</v>
          </cell>
          <cell r="G359">
            <v>647.51</v>
          </cell>
        </row>
        <row r="360">
          <cell r="B360">
            <v>356</v>
          </cell>
          <cell r="C360">
            <v>765.10999999999649</v>
          </cell>
          <cell r="D360">
            <v>1071.1500000000001</v>
          </cell>
          <cell r="F360">
            <v>463.81000000000176</v>
          </cell>
          <cell r="G360">
            <v>649.33000000000004</v>
          </cell>
        </row>
        <row r="361">
          <cell r="B361">
            <v>357</v>
          </cell>
          <cell r="C361">
            <v>767.25999999999647</v>
          </cell>
          <cell r="D361">
            <v>1074.1600000000001</v>
          </cell>
          <cell r="F361">
            <v>465.11000000000178</v>
          </cell>
          <cell r="G361">
            <v>651.15</v>
          </cell>
        </row>
        <row r="362">
          <cell r="B362">
            <v>358</v>
          </cell>
          <cell r="C362">
            <v>769.40999999999644</v>
          </cell>
          <cell r="D362">
            <v>1077.17</v>
          </cell>
          <cell r="F362">
            <v>466.41000000000179</v>
          </cell>
          <cell r="G362">
            <v>652.97</v>
          </cell>
        </row>
        <row r="363">
          <cell r="B363">
            <v>359</v>
          </cell>
          <cell r="C363">
            <v>771.55999999999642</v>
          </cell>
          <cell r="D363">
            <v>1080.18</v>
          </cell>
          <cell r="F363">
            <v>467.7100000000018</v>
          </cell>
          <cell r="G363">
            <v>654.79</v>
          </cell>
        </row>
        <row r="364">
          <cell r="B364">
            <v>360</v>
          </cell>
          <cell r="C364">
            <v>773.7099999999964</v>
          </cell>
          <cell r="D364">
            <v>1083.19</v>
          </cell>
          <cell r="F364">
            <v>469.01000000000181</v>
          </cell>
          <cell r="G364">
            <v>656.61</v>
          </cell>
        </row>
        <row r="365">
          <cell r="B365">
            <v>361</v>
          </cell>
          <cell r="C365">
            <v>775.85999999999638</v>
          </cell>
          <cell r="D365">
            <v>1086.2</v>
          </cell>
          <cell r="F365">
            <v>470.31000000000182</v>
          </cell>
          <cell r="G365">
            <v>658.43</v>
          </cell>
        </row>
        <row r="366">
          <cell r="B366">
            <v>362</v>
          </cell>
          <cell r="C366">
            <v>778.00999999999635</v>
          </cell>
          <cell r="D366">
            <v>1089.21</v>
          </cell>
          <cell r="F366">
            <v>471.61000000000183</v>
          </cell>
          <cell r="G366">
            <v>660.25</v>
          </cell>
        </row>
        <row r="367">
          <cell r="B367">
            <v>363</v>
          </cell>
          <cell r="C367">
            <v>780.15999999999633</v>
          </cell>
          <cell r="D367">
            <v>1092.22</v>
          </cell>
          <cell r="F367">
            <v>472.91000000000184</v>
          </cell>
          <cell r="G367">
            <v>662.07</v>
          </cell>
        </row>
        <row r="368">
          <cell r="B368">
            <v>364</v>
          </cell>
          <cell r="C368">
            <v>782.30999999999631</v>
          </cell>
          <cell r="D368">
            <v>1095.23</v>
          </cell>
          <cell r="F368">
            <v>474.21000000000186</v>
          </cell>
          <cell r="G368">
            <v>663.89</v>
          </cell>
        </row>
        <row r="369">
          <cell r="B369">
            <v>365</v>
          </cell>
          <cell r="C369">
            <v>784.45999999999628</v>
          </cell>
          <cell r="D369">
            <v>1098.24</v>
          </cell>
          <cell r="F369">
            <v>475.51000000000187</v>
          </cell>
          <cell r="G369">
            <v>665.71</v>
          </cell>
        </row>
        <row r="370">
          <cell r="B370">
            <v>366</v>
          </cell>
          <cell r="C370">
            <v>786.60999999999626</v>
          </cell>
          <cell r="D370">
            <v>1101.25</v>
          </cell>
          <cell r="F370">
            <v>476.81000000000188</v>
          </cell>
          <cell r="G370">
            <v>667.53</v>
          </cell>
        </row>
        <row r="371">
          <cell r="B371">
            <v>367</v>
          </cell>
          <cell r="C371">
            <v>788.75999999999624</v>
          </cell>
          <cell r="D371">
            <v>1104.26</v>
          </cell>
          <cell r="F371">
            <v>478.11000000000189</v>
          </cell>
          <cell r="G371">
            <v>669.35</v>
          </cell>
        </row>
        <row r="372">
          <cell r="B372">
            <v>368</v>
          </cell>
          <cell r="C372">
            <v>790.90999999999622</v>
          </cell>
          <cell r="D372">
            <v>1107.27</v>
          </cell>
          <cell r="F372">
            <v>479.4100000000019</v>
          </cell>
          <cell r="G372">
            <v>671.17</v>
          </cell>
        </row>
        <row r="373">
          <cell r="B373">
            <v>369</v>
          </cell>
          <cell r="C373">
            <v>793.05999999999619</v>
          </cell>
          <cell r="D373">
            <v>1110.28</v>
          </cell>
          <cell r="F373">
            <v>480.71000000000191</v>
          </cell>
          <cell r="G373">
            <v>672.99</v>
          </cell>
        </row>
        <row r="374">
          <cell r="B374">
            <v>370</v>
          </cell>
          <cell r="C374">
            <v>795.20999999999617</v>
          </cell>
          <cell r="D374">
            <v>1113.29</v>
          </cell>
          <cell r="F374">
            <v>482.01000000000192</v>
          </cell>
          <cell r="G374">
            <v>674.81</v>
          </cell>
        </row>
        <row r="375">
          <cell r="B375">
            <v>371</v>
          </cell>
          <cell r="C375">
            <v>797.35999999999615</v>
          </cell>
          <cell r="D375">
            <v>1116.3</v>
          </cell>
          <cell r="F375">
            <v>483.31000000000193</v>
          </cell>
          <cell r="G375">
            <v>676.63</v>
          </cell>
        </row>
        <row r="376">
          <cell r="B376">
            <v>372</v>
          </cell>
          <cell r="C376">
            <v>799.50999999999613</v>
          </cell>
          <cell r="D376">
            <v>1119.31</v>
          </cell>
          <cell r="F376">
            <v>484.61000000000195</v>
          </cell>
          <cell r="G376">
            <v>678.45</v>
          </cell>
        </row>
        <row r="377">
          <cell r="B377">
            <v>373</v>
          </cell>
          <cell r="C377">
            <v>801.6599999999961</v>
          </cell>
          <cell r="D377">
            <v>1122.32</v>
          </cell>
          <cell r="F377">
            <v>485.91000000000196</v>
          </cell>
          <cell r="G377">
            <v>680.27</v>
          </cell>
        </row>
        <row r="378">
          <cell r="B378">
            <v>374</v>
          </cell>
          <cell r="C378">
            <v>803.80999999999608</v>
          </cell>
          <cell r="D378">
            <v>1125.33</v>
          </cell>
          <cell r="F378">
            <v>487.21000000000197</v>
          </cell>
          <cell r="G378">
            <v>682.09</v>
          </cell>
        </row>
        <row r="379">
          <cell r="B379">
            <v>375</v>
          </cell>
          <cell r="C379">
            <v>805.95999999999606</v>
          </cell>
          <cell r="D379">
            <v>1128.3399999999999</v>
          </cell>
          <cell r="F379">
            <v>488.51000000000198</v>
          </cell>
          <cell r="G379">
            <v>683.91</v>
          </cell>
        </row>
        <row r="380">
          <cell r="B380">
            <v>376</v>
          </cell>
          <cell r="C380">
            <v>808.10999999999603</v>
          </cell>
          <cell r="D380">
            <v>1131.3499999999999</v>
          </cell>
          <cell r="F380">
            <v>489.81000000000199</v>
          </cell>
          <cell r="G380">
            <v>685.73</v>
          </cell>
        </row>
        <row r="381">
          <cell r="B381">
            <v>377</v>
          </cell>
          <cell r="C381">
            <v>810.25999999999601</v>
          </cell>
          <cell r="D381">
            <v>1134.3599999999999</v>
          </cell>
          <cell r="F381">
            <v>491.110000000002</v>
          </cell>
          <cell r="G381">
            <v>687.55</v>
          </cell>
        </row>
        <row r="382">
          <cell r="B382">
            <v>378</v>
          </cell>
          <cell r="C382">
            <v>812.40999999999599</v>
          </cell>
          <cell r="D382">
            <v>1137.3699999999999</v>
          </cell>
          <cell r="F382">
            <v>492.41000000000201</v>
          </cell>
          <cell r="G382">
            <v>689.37</v>
          </cell>
        </row>
        <row r="383">
          <cell r="B383">
            <v>379</v>
          </cell>
          <cell r="C383">
            <v>814.55999999999597</v>
          </cell>
          <cell r="D383">
            <v>1140.3800000000001</v>
          </cell>
          <cell r="F383">
            <v>493.71000000000203</v>
          </cell>
          <cell r="G383">
            <v>691.19</v>
          </cell>
        </row>
        <row r="384">
          <cell r="B384">
            <v>380</v>
          </cell>
          <cell r="C384">
            <v>816.70999999999594</v>
          </cell>
          <cell r="D384">
            <v>1143.3900000000001</v>
          </cell>
          <cell r="F384">
            <v>495.01000000000204</v>
          </cell>
          <cell r="G384">
            <v>693.01</v>
          </cell>
        </row>
        <row r="385">
          <cell r="B385">
            <v>381</v>
          </cell>
          <cell r="C385">
            <v>818.85999999999592</v>
          </cell>
          <cell r="D385">
            <v>1146.4000000000001</v>
          </cell>
          <cell r="F385">
            <v>496.31000000000205</v>
          </cell>
          <cell r="G385">
            <v>694.83</v>
          </cell>
        </row>
        <row r="386">
          <cell r="B386">
            <v>382</v>
          </cell>
          <cell r="C386">
            <v>821.0099999999959</v>
          </cell>
          <cell r="D386">
            <v>1149.4100000000001</v>
          </cell>
          <cell r="F386">
            <v>497.61000000000206</v>
          </cell>
          <cell r="G386">
            <v>696.65</v>
          </cell>
        </row>
        <row r="387">
          <cell r="B387">
            <v>383</v>
          </cell>
          <cell r="C387">
            <v>823.15999999999588</v>
          </cell>
          <cell r="D387">
            <v>1152.42</v>
          </cell>
          <cell r="F387">
            <v>498.91000000000207</v>
          </cell>
          <cell r="G387">
            <v>698.47</v>
          </cell>
        </row>
        <row r="388">
          <cell r="B388">
            <v>384</v>
          </cell>
          <cell r="C388">
            <v>825.30999999999585</v>
          </cell>
          <cell r="D388">
            <v>1155.43</v>
          </cell>
          <cell r="F388">
            <v>500.21000000000208</v>
          </cell>
          <cell r="G388">
            <v>700.29</v>
          </cell>
        </row>
        <row r="389">
          <cell r="B389">
            <v>385</v>
          </cell>
          <cell r="C389">
            <v>827.45999999999583</v>
          </cell>
          <cell r="D389">
            <v>1158.44</v>
          </cell>
          <cell r="F389">
            <v>501.51000000000209</v>
          </cell>
          <cell r="G389">
            <v>702.11</v>
          </cell>
        </row>
        <row r="390">
          <cell r="B390">
            <v>386</v>
          </cell>
          <cell r="C390">
            <v>829.60999999999581</v>
          </cell>
          <cell r="D390">
            <v>1161.45</v>
          </cell>
          <cell r="F390">
            <v>502.81000000000211</v>
          </cell>
          <cell r="G390">
            <v>703.93</v>
          </cell>
        </row>
        <row r="391">
          <cell r="B391">
            <v>387</v>
          </cell>
          <cell r="C391">
            <v>831.75999999999578</v>
          </cell>
          <cell r="D391">
            <v>1164.46</v>
          </cell>
          <cell r="F391">
            <v>504.11000000000212</v>
          </cell>
          <cell r="G391">
            <v>705.75</v>
          </cell>
        </row>
        <row r="392">
          <cell r="B392">
            <v>388</v>
          </cell>
          <cell r="C392">
            <v>833.90999999999576</v>
          </cell>
          <cell r="D392">
            <v>1167.47</v>
          </cell>
          <cell r="F392">
            <v>505.41000000000213</v>
          </cell>
          <cell r="G392">
            <v>707.57</v>
          </cell>
        </row>
        <row r="393">
          <cell r="B393">
            <v>389</v>
          </cell>
          <cell r="C393">
            <v>836.05999999999574</v>
          </cell>
          <cell r="D393">
            <v>1170.48</v>
          </cell>
          <cell r="F393">
            <v>506.71000000000214</v>
          </cell>
          <cell r="G393">
            <v>709.39</v>
          </cell>
        </row>
        <row r="394">
          <cell r="B394">
            <v>390</v>
          </cell>
          <cell r="C394">
            <v>838.20999999999572</v>
          </cell>
          <cell r="D394">
            <v>1173.49</v>
          </cell>
          <cell r="F394">
            <v>508.01000000000215</v>
          </cell>
          <cell r="G394">
            <v>711.21</v>
          </cell>
        </row>
        <row r="395">
          <cell r="B395">
            <v>391</v>
          </cell>
          <cell r="C395">
            <v>840.35999999999569</v>
          </cell>
          <cell r="D395">
            <v>1176.5</v>
          </cell>
          <cell r="F395">
            <v>509.31000000000216</v>
          </cell>
          <cell r="G395">
            <v>713.03</v>
          </cell>
        </row>
        <row r="396">
          <cell r="B396">
            <v>392</v>
          </cell>
          <cell r="C396">
            <v>842.50999999999567</v>
          </cell>
          <cell r="D396">
            <v>1179.51</v>
          </cell>
          <cell r="F396">
            <v>510.61000000000217</v>
          </cell>
          <cell r="G396">
            <v>714.85</v>
          </cell>
        </row>
        <row r="397">
          <cell r="B397">
            <v>393</v>
          </cell>
          <cell r="C397">
            <v>844.65999999999565</v>
          </cell>
          <cell r="D397">
            <v>1182.52</v>
          </cell>
          <cell r="F397">
            <v>511.91000000000219</v>
          </cell>
          <cell r="G397">
            <v>716.67</v>
          </cell>
        </row>
        <row r="398">
          <cell r="B398">
            <v>394</v>
          </cell>
          <cell r="C398">
            <v>846.80999999999563</v>
          </cell>
          <cell r="D398">
            <v>1185.53</v>
          </cell>
          <cell r="F398">
            <v>513.2100000000022</v>
          </cell>
          <cell r="G398">
            <v>718.49</v>
          </cell>
        </row>
        <row r="399">
          <cell r="B399">
            <v>395</v>
          </cell>
          <cell r="C399">
            <v>848.9599999999956</v>
          </cell>
          <cell r="D399">
            <v>1188.54</v>
          </cell>
          <cell r="F399">
            <v>514.51000000000215</v>
          </cell>
          <cell r="G399">
            <v>720.31</v>
          </cell>
        </row>
        <row r="400">
          <cell r="B400">
            <v>396</v>
          </cell>
          <cell r="C400">
            <v>851.10999999999558</v>
          </cell>
          <cell r="D400">
            <v>1191.55</v>
          </cell>
          <cell r="F400">
            <v>515.81000000000211</v>
          </cell>
          <cell r="G400">
            <v>722.13</v>
          </cell>
        </row>
        <row r="401">
          <cell r="B401">
            <v>397</v>
          </cell>
          <cell r="C401">
            <v>853.25999999999556</v>
          </cell>
          <cell r="D401">
            <v>1194.56</v>
          </cell>
          <cell r="F401">
            <v>517.11000000000206</v>
          </cell>
          <cell r="G401">
            <v>723.95</v>
          </cell>
        </row>
        <row r="402">
          <cell r="B402">
            <v>398</v>
          </cell>
          <cell r="C402">
            <v>855.40999999999553</v>
          </cell>
          <cell r="D402">
            <v>1197.57</v>
          </cell>
          <cell r="F402">
            <v>518.41000000000201</v>
          </cell>
          <cell r="G402">
            <v>725.77</v>
          </cell>
        </row>
        <row r="403">
          <cell r="B403">
            <v>399</v>
          </cell>
          <cell r="C403">
            <v>857.55999999999551</v>
          </cell>
          <cell r="D403">
            <v>1200.58</v>
          </cell>
          <cell r="F403">
            <v>519.71000000000197</v>
          </cell>
          <cell r="G403">
            <v>727.59</v>
          </cell>
        </row>
        <row r="404">
          <cell r="B404">
            <v>400</v>
          </cell>
          <cell r="C404">
            <v>859.70999999999549</v>
          </cell>
          <cell r="D404">
            <v>1203.5899999999999</v>
          </cell>
          <cell r="F404">
            <v>521.01000000000192</v>
          </cell>
          <cell r="G404">
            <v>729.41</v>
          </cell>
        </row>
        <row r="405">
          <cell r="B405">
            <v>401</v>
          </cell>
          <cell r="C405">
            <v>861.85999999999547</v>
          </cell>
          <cell r="D405">
            <v>1206.5999999999999</v>
          </cell>
          <cell r="F405">
            <v>522.31000000000188</v>
          </cell>
          <cell r="G405">
            <v>731.23</v>
          </cell>
        </row>
        <row r="406">
          <cell r="B406">
            <v>402</v>
          </cell>
          <cell r="C406">
            <v>864.00999999999544</v>
          </cell>
          <cell r="D406">
            <v>1209.6099999999999</v>
          </cell>
          <cell r="F406">
            <v>523.61000000000183</v>
          </cell>
          <cell r="G406">
            <v>733.05</v>
          </cell>
        </row>
        <row r="407">
          <cell r="B407">
            <v>403</v>
          </cell>
          <cell r="C407">
            <v>866.15999999999542</v>
          </cell>
          <cell r="D407">
            <v>1212.6199999999999</v>
          </cell>
          <cell r="F407">
            <v>524.91000000000179</v>
          </cell>
          <cell r="G407">
            <v>734.87</v>
          </cell>
        </row>
        <row r="408">
          <cell r="B408">
            <v>404</v>
          </cell>
          <cell r="C408">
            <v>868.3099999999954</v>
          </cell>
          <cell r="D408">
            <v>1215.6300000000001</v>
          </cell>
          <cell r="F408">
            <v>526.21000000000174</v>
          </cell>
          <cell r="G408">
            <v>736.69</v>
          </cell>
        </row>
        <row r="409">
          <cell r="B409">
            <v>405</v>
          </cell>
          <cell r="C409">
            <v>870.45999999999538</v>
          </cell>
          <cell r="D409">
            <v>1218.6400000000001</v>
          </cell>
          <cell r="F409">
            <v>527.5100000000017</v>
          </cell>
          <cell r="G409">
            <v>738.51</v>
          </cell>
        </row>
        <row r="410">
          <cell r="B410">
            <v>406</v>
          </cell>
          <cell r="C410">
            <v>872.60999999999535</v>
          </cell>
          <cell r="D410">
            <v>1221.6500000000001</v>
          </cell>
          <cell r="F410">
            <v>528.81000000000165</v>
          </cell>
          <cell r="G410">
            <v>740.33</v>
          </cell>
        </row>
        <row r="411">
          <cell r="B411">
            <v>407</v>
          </cell>
          <cell r="C411">
            <v>874.75999999999533</v>
          </cell>
          <cell r="D411">
            <v>1224.6600000000001</v>
          </cell>
          <cell r="F411">
            <v>530.11000000000161</v>
          </cell>
          <cell r="G411">
            <v>742.15</v>
          </cell>
        </row>
        <row r="412">
          <cell r="B412">
            <v>408</v>
          </cell>
          <cell r="C412">
            <v>876.90999999999531</v>
          </cell>
          <cell r="D412">
            <v>1227.67</v>
          </cell>
          <cell r="F412">
            <v>531.41000000000156</v>
          </cell>
          <cell r="G412">
            <v>743.97</v>
          </cell>
        </row>
        <row r="413">
          <cell r="B413">
            <v>409</v>
          </cell>
          <cell r="C413">
            <v>879.05999999999528</v>
          </cell>
          <cell r="D413">
            <v>1230.68</v>
          </cell>
          <cell r="F413">
            <v>532.71000000000151</v>
          </cell>
          <cell r="G413">
            <v>745.79</v>
          </cell>
        </row>
        <row r="414">
          <cell r="B414">
            <v>410</v>
          </cell>
          <cell r="C414">
            <v>881.20999999999526</v>
          </cell>
          <cell r="D414">
            <v>1233.69</v>
          </cell>
          <cell r="F414">
            <v>534.01000000000147</v>
          </cell>
          <cell r="G414">
            <v>747.61</v>
          </cell>
        </row>
        <row r="415">
          <cell r="B415">
            <v>411</v>
          </cell>
          <cell r="C415">
            <v>883.35999999999524</v>
          </cell>
          <cell r="D415">
            <v>1236.7</v>
          </cell>
          <cell r="F415">
            <v>535.31000000000142</v>
          </cell>
          <cell r="G415">
            <v>749.43</v>
          </cell>
        </row>
        <row r="416">
          <cell r="B416">
            <v>412</v>
          </cell>
          <cell r="C416">
            <v>885.50999999999522</v>
          </cell>
          <cell r="D416">
            <v>1239.71</v>
          </cell>
          <cell r="F416">
            <v>536.61000000000138</v>
          </cell>
          <cell r="G416">
            <v>751.25</v>
          </cell>
        </row>
        <row r="417">
          <cell r="B417">
            <v>413</v>
          </cell>
          <cell r="C417">
            <v>887.65999999999519</v>
          </cell>
          <cell r="D417">
            <v>1242.72</v>
          </cell>
          <cell r="F417">
            <v>537.91000000000133</v>
          </cell>
          <cell r="G417">
            <v>753.07</v>
          </cell>
        </row>
        <row r="418">
          <cell r="B418">
            <v>414</v>
          </cell>
          <cell r="C418">
            <v>889.80999999999517</v>
          </cell>
          <cell r="D418">
            <v>1245.73</v>
          </cell>
          <cell r="F418">
            <v>539.21000000000129</v>
          </cell>
          <cell r="G418">
            <v>754.89</v>
          </cell>
        </row>
        <row r="419">
          <cell r="B419">
            <v>415</v>
          </cell>
          <cell r="C419">
            <v>891.95999999999515</v>
          </cell>
          <cell r="D419">
            <v>1248.74</v>
          </cell>
          <cell r="F419">
            <v>540.51000000000124</v>
          </cell>
          <cell r="G419">
            <v>756.71</v>
          </cell>
        </row>
        <row r="420">
          <cell r="B420">
            <v>416</v>
          </cell>
          <cell r="C420">
            <v>894.10999999999513</v>
          </cell>
          <cell r="D420">
            <v>1251.75</v>
          </cell>
          <cell r="F420">
            <v>541.8100000000012</v>
          </cell>
          <cell r="G420">
            <v>758.53</v>
          </cell>
        </row>
        <row r="421">
          <cell r="B421">
            <v>417</v>
          </cell>
          <cell r="C421">
            <v>896.2599999999951</v>
          </cell>
          <cell r="D421">
            <v>1254.76</v>
          </cell>
          <cell r="F421">
            <v>543.11000000000115</v>
          </cell>
          <cell r="G421">
            <v>760.35</v>
          </cell>
        </row>
        <row r="422">
          <cell r="B422">
            <v>418</v>
          </cell>
          <cell r="C422">
            <v>898.40999999999508</v>
          </cell>
          <cell r="D422">
            <v>1257.77</v>
          </cell>
          <cell r="F422">
            <v>544.41000000000111</v>
          </cell>
          <cell r="G422">
            <v>762.17</v>
          </cell>
        </row>
        <row r="423">
          <cell r="B423">
            <v>419</v>
          </cell>
          <cell r="C423">
            <v>900.55999999999506</v>
          </cell>
          <cell r="D423">
            <v>1260.78</v>
          </cell>
          <cell r="F423">
            <v>545.71000000000106</v>
          </cell>
          <cell r="G423">
            <v>763.99</v>
          </cell>
        </row>
        <row r="424">
          <cell r="B424">
            <v>420</v>
          </cell>
          <cell r="C424">
            <v>902.70999999999503</v>
          </cell>
          <cell r="D424">
            <v>1263.79</v>
          </cell>
          <cell r="F424">
            <v>547.01000000000101</v>
          </cell>
          <cell r="G424">
            <v>765.81</v>
          </cell>
        </row>
        <row r="425">
          <cell r="B425">
            <v>421</v>
          </cell>
          <cell r="C425">
            <v>904.85999999999501</v>
          </cell>
          <cell r="D425">
            <v>1266.8</v>
          </cell>
          <cell r="F425">
            <v>548.31000000000097</v>
          </cell>
          <cell r="G425">
            <v>767.63</v>
          </cell>
        </row>
        <row r="426">
          <cell r="B426">
            <v>422</v>
          </cell>
          <cell r="C426">
            <v>907.00999999999499</v>
          </cell>
          <cell r="D426">
            <v>1269.81</v>
          </cell>
          <cell r="F426">
            <v>549.61000000000092</v>
          </cell>
          <cell r="G426">
            <v>769.45</v>
          </cell>
        </row>
        <row r="427">
          <cell r="B427">
            <v>423</v>
          </cell>
          <cell r="C427">
            <v>909.15999999999497</v>
          </cell>
          <cell r="D427">
            <v>1272.82</v>
          </cell>
          <cell r="F427">
            <v>550.91000000000088</v>
          </cell>
          <cell r="G427">
            <v>771.27</v>
          </cell>
        </row>
        <row r="428">
          <cell r="B428">
            <v>424</v>
          </cell>
          <cell r="C428">
            <v>911.30999999999494</v>
          </cell>
          <cell r="D428">
            <v>1275.83</v>
          </cell>
          <cell r="F428">
            <v>552.21000000000083</v>
          </cell>
          <cell r="G428">
            <v>773.09</v>
          </cell>
        </row>
        <row r="429">
          <cell r="B429">
            <v>425</v>
          </cell>
          <cell r="C429">
            <v>913.45999999999492</v>
          </cell>
          <cell r="D429">
            <v>1278.8399999999999</v>
          </cell>
          <cell r="F429">
            <v>553.51000000000079</v>
          </cell>
          <cell r="G429">
            <v>774.91</v>
          </cell>
        </row>
        <row r="430">
          <cell r="B430">
            <v>426</v>
          </cell>
          <cell r="C430">
            <v>915.6099999999949</v>
          </cell>
          <cell r="D430">
            <v>1281.8499999999999</v>
          </cell>
          <cell r="F430">
            <v>554.81000000000074</v>
          </cell>
          <cell r="G430">
            <v>776.73</v>
          </cell>
        </row>
        <row r="431">
          <cell r="B431">
            <v>427</v>
          </cell>
          <cell r="C431">
            <v>917.75999999999487</v>
          </cell>
          <cell r="D431">
            <v>1284.8599999999999</v>
          </cell>
          <cell r="F431">
            <v>556.1100000000007</v>
          </cell>
          <cell r="G431">
            <v>778.55</v>
          </cell>
        </row>
        <row r="432">
          <cell r="B432">
            <v>428</v>
          </cell>
          <cell r="C432">
            <v>919.90999999999485</v>
          </cell>
          <cell r="D432">
            <v>1287.8699999999999</v>
          </cell>
          <cell r="F432">
            <v>557.41000000000065</v>
          </cell>
          <cell r="G432">
            <v>780.37</v>
          </cell>
        </row>
        <row r="433">
          <cell r="B433">
            <v>429</v>
          </cell>
          <cell r="C433">
            <v>922.05999999999483</v>
          </cell>
          <cell r="D433">
            <v>1290.8800000000001</v>
          </cell>
          <cell r="F433">
            <v>558.7100000000006</v>
          </cell>
          <cell r="G433">
            <v>782.19</v>
          </cell>
        </row>
        <row r="434">
          <cell r="B434">
            <v>430</v>
          </cell>
          <cell r="C434">
            <v>924.20999999999481</v>
          </cell>
          <cell r="D434">
            <v>1293.8900000000001</v>
          </cell>
          <cell r="F434">
            <v>560.01000000000056</v>
          </cell>
          <cell r="G434">
            <v>784.01</v>
          </cell>
        </row>
        <row r="435">
          <cell r="B435">
            <v>431</v>
          </cell>
          <cell r="C435">
            <v>926.35999999999478</v>
          </cell>
          <cell r="D435">
            <v>1296.9000000000001</v>
          </cell>
          <cell r="F435">
            <v>561.31000000000051</v>
          </cell>
          <cell r="G435">
            <v>785.83</v>
          </cell>
        </row>
        <row r="436">
          <cell r="B436">
            <v>432</v>
          </cell>
          <cell r="C436">
            <v>928.50999999999476</v>
          </cell>
          <cell r="D436">
            <v>1299.9100000000001</v>
          </cell>
          <cell r="F436">
            <v>562.61000000000047</v>
          </cell>
          <cell r="G436">
            <v>787.65</v>
          </cell>
        </row>
        <row r="437">
          <cell r="B437">
            <v>433</v>
          </cell>
          <cell r="C437">
            <v>930.65999999999474</v>
          </cell>
          <cell r="D437">
            <v>1302.92</v>
          </cell>
          <cell r="F437">
            <v>563.91000000000042</v>
          </cell>
          <cell r="G437">
            <v>789.47</v>
          </cell>
        </row>
        <row r="438">
          <cell r="B438">
            <v>434</v>
          </cell>
          <cell r="C438">
            <v>932.80999999999472</v>
          </cell>
          <cell r="D438">
            <v>1305.93</v>
          </cell>
          <cell r="F438">
            <v>565.21000000000038</v>
          </cell>
          <cell r="G438">
            <v>791.29</v>
          </cell>
        </row>
        <row r="439">
          <cell r="B439">
            <v>435</v>
          </cell>
          <cell r="C439">
            <v>934.95999999999469</v>
          </cell>
          <cell r="D439">
            <v>1308.94</v>
          </cell>
          <cell r="F439">
            <v>566.51000000000033</v>
          </cell>
          <cell r="G439">
            <v>793.11</v>
          </cell>
        </row>
        <row r="440">
          <cell r="B440">
            <v>436</v>
          </cell>
          <cell r="C440">
            <v>937.10999999999467</v>
          </cell>
          <cell r="D440">
            <v>1311.95</v>
          </cell>
          <cell r="F440">
            <v>567.81000000000029</v>
          </cell>
          <cell r="G440">
            <v>794.93</v>
          </cell>
        </row>
        <row r="441">
          <cell r="B441">
            <v>437</v>
          </cell>
          <cell r="C441">
            <v>939.25999999999465</v>
          </cell>
          <cell r="D441">
            <v>1314.96</v>
          </cell>
          <cell r="F441">
            <v>569.11000000000024</v>
          </cell>
          <cell r="G441">
            <v>796.75</v>
          </cell>
        </row>
        <row r="442">
          <cell r="B442">
            <v>438</v>
          </cell>
          <cell r="C442">
            <v>941.40999999999462</v>
          </cell>
          <cell r="D442">
            <v>1317.97</v>
          </cell>
          <cell r="F442">
            <v>570.4100000000002</v>
          </cell>
          <cell r="G442">
            <v>798.57</v>
          </cell>
        </row>
        <row r="443">
          <cell r="B443">
            <v>439</v>
          </cell>
          <cell r="C443">
            <v>943.5599999999946</v>
          </cell>
          <cell r="D443">
            <v>1320.98</v>
          </cell>
          <cell r="F443">
            <v>571.71000000000015</v>
          </cell>
          <cell r="G443">
            <v>800.39</v>
          </cell>
        </row>
        <row r="444">
          <cell r="B444">
            <v>440</v>
          </cell>
          <cell r="C444">
            <v>945.70999999999458</v>
          </cell>
          <cell r="D444">
            <v>1323.99</v>
          </cell>
          <cell r="F444">
            <v>573.0100000000001</v>
          </cell>
          <cell r="G444">
            <v>802.21</v>
          </cell>
        </row>
        <row r="445">
          <cell r="B445">
            <v>441</v>
          </cell>
          <cell r="C445">
            <v>947.85999999999456</v>
          </cell>
          <cell r="D445">
            <v>1327</v>
          </cell>
          <cell r="F445">
            <v>574.31000000000006</v>
          </cell>
          <cell r="G445">
            <v>804.03</v>
          </cell>
        </row>
        <row r="446">
          <cell r="B446">
            <v>442</v>
          </cell>
          <cell r="C446">
            <v>950.00999999999453</v>
          </cell>
          <cell r="D446">
            <v>1330.01</v>
          </cell>
          <cell r="F446">
            <v>575.61</v>
          </cell>
          <cell r="G446">
            <v>805.85</v>
          </cell>
        </row>
        <row r="447">
          <cell r="B447">
            <v>443</v>
          </cell>
          <cell r="C447">
            <v>952.15999999999451</v>
          </cell>
          <cell r="D447">
            <v>1333.02</v>
          </cell>
          <cell r="F447">
            <v>576.91</v>
          </cell>
          <cell r="G447">
            <v>807.67</v>
          </cell>
        </row>
        <row r="448">
          <cell r="B448">
            <v>444</v>
          </cell>
          <cell r="C448">
            <v>954.30999999999449</v>
          </cell>
          <cell r="D448">
            <v>1336.03</v>
          </cell>
          <cell r="F448">
            <v>578.20999999999992</v>
          </cell>
          <cell r="G448">
            <v>809.49</v>
          </cell>
        </row>
        <row r="449">
          <cell r="B449">
            <v>445</v>
          </cell>
          <cell r="C449">
            <v>956.45999999999447</v>
          </cell>
          <cell r="D449">
            <v>1339.04</v>
          </cell>
          <cell r="F449">
            <v>579.50999999999988</v>
          </cell>
          <cell r="G449">
            <v>811.31</v>
          </cell>
        </row>
        <row r="450">
          <cell r="B450">
            <v>446</v>
          </cell>
          <cell r="C450">
            <v>958.60999999999444</v>
          </cell>
          <cell r="D450">
            <v>1342.05</v>
          </cell>
          <cell r="F450">
            <v>580.80999999999983</v>
          </cell>
          <cell r="G450">
            <v>813.13</v>
          </cell>
        </row>
        <row r="451">
          <cell r="B451">
            <v>447</v>
          </cell>
          <cell r="C451">
            <v>960.75999999999442</v>
          </cell>
          <cell r="D451">
            <v>1345.06</v>
          </cell>
          <cell r="F451">
            <v>582.10999999999979</v>
          </cell>
          <cell r="G451">
            <v>814.95</v>
          </cell>
        </row>
        <row r="452">
          <cell r="B452">
            <v>448</v>
          </cell>
          <cell r="C452">
            <v>962.9099999999944</v>
          </cell>
          <cell r="D452">
            <v>1348.07</v>
          </cell>
          <cell r="F452">
            <v>583.40999999999974</v>
          </cell>
          <cell r="G452">
            <v>816.77</v>
          </cell>
        </row>
        <row r="453">
          <cell r="B453">
            <v>449</v>
          </cell>
          <cell r="C453">
            <v>965.05999999999437</v>
          </cell>
          <cell r="D453">
            <v>1351.08</v>
          </cell>
          <cell r="F453">
            <v>584.7099999999997</v>
          </cell>
          <cell r="G453">
            <v>818.59</v>
          </cell>
        </row>
        <row r="454">
          <cell r="B454">
            <v>450</v>
          </cell>
          <cell r="C454">
            <v>967.20999999999435</v>
          </cell>
          <cell r="D454">
            <v>1354.09</v>
          </cell>
          <cell r="F454">
            <v>586.00999999999965</v>
          </cell>
          <cell r="G454">
            <v>820.41</v>
          </cell>
        </row>
        <row r="455">
          <cell r="B455">
            <v>451</v>
          </cell>
          <cell r="C455">
            <v>969.35999999999433</v>
          </cell>
          <cell r="D455">
            <v>1357.1</v>
          </cell>
          <cell r="F455">
            <v>587.3099999999996</v>
          </cell>
          <cell r="G455">
            <v>822.23</v>
          </cell>
        </row>
        <row r="456">
          <cell r="B456">
            <v>452</v>
          </cell>
          <cell r="C456">
            <v>971.50999999999431</v>
          </cell>
          <cell r="D456">
            <v>1360.11</v>
          </cell>
          <cell r="F456">
            <v>588.60999999999956</v>
          </cell>
          <cell r="G456">
            <v>824.05</v>
          </cell>
        </row>
        <row r="457">
          <cell r="B457">
            <v>453</v>
          </cell>
          <cell r="C457">
            <v>973.65999999999428</v>
          </cell>
          <cell r="D457">
            <v>1363.12</v>
          </cell>
          <cell r="F457">
            <v>589.90999999999951</v>
          </cell>
          <cell r="G457">
            <v>825.87</v>
          </cell>
        </row>
        <row r="458">
          <cell r="B458">
            <v>454</v>
          </cell>
          <cell r="C458">
            <v>975.80999999999426</v>
          </cell>
          <cell r="D458">
            <v>1366.13</v>
          </cell>
          <cell r="F458">
            <v>591.20999999999947</v>
          </cell>
          <cell r="G458">
            <v>827.69</v>
          </cell>
        </row>
        <row r="459">
          <cell r="B459">
            <v>455</v>
          </cell>
          <cell r="C459">
            <v>977.95999999999424</v>
          </cell>
          <cell r="D459">
            <v>1369.14</v>
          </cell>
          <cell r="F459">
            <v>592.50999999999942</v>
          </cell>
          <cell r="G459">
            <v>829.51</v>
          </cell>
        </row>
        <row r="460">
          <cell r="B460">
            <v>456</v>
          </cell>
          <cell r="C460">
            <v>980.10999999999422</v>
          </cell>
          <cell r="D460">
            <v>1372.15</v>
          </cell>
          <cell r="F460">
            <v>593.80999999999938</v>
          </cell>
          <cell r="G460">
            <v>831.33</v>
          </cell>
        </row>
        <row r="461">
          <cell r="B461">
            <v>457</v>
          </cell>
          <cell r="C461">
            <v>982.25999999999419</v>
          </cell>
          <cell r="D461">
            <v>1375.16</v>
          </cell>
          <cell r="F461">
            <v>595.10999999999933</v>
          </cell>
          <cell r="G461">
            <v>833.15</v>
          </cell>
        </row>
        <row r="462">
          <cell r="B462">
            <v>458</v>
          </cell>
          <cell r="C462">
            <v>984.40999999999417</v>
          </cell>
          <cell r="D462">
            <v>1378.17</v>
          </cell>
          <cell r="F462">
            <v>596.40999999999929</v>
          </cell>
          <cell r="G462">
            <v>834.97</v>
          </cell>
        </row>
        <row r="463">
          <cell r="B463">
            <v>459</v>
          </cell>
          <cell r="C463">
            <v>986.55999999999415</v>
          </cell>
          <cell r="D463">
            <v>1381.18</v>
          </cell>
          <cell r="F463">
            <v>597.70999999999924</v>
          </cell>
          <cell r="G463">
            <v>836.79</v>
          </cell>
        </row>
        <row r="464">
          <cell r="B464">
            <v>460</v>
          </cell>
          <cell r="C464">
            <v>988.70999999999412</v>
          </cell>
          <cell r="D464">
            <v>1384.19</v>
          </cell>
          <cell r="F464">
            <v>599.0099999999992</v>
          </cell>
          <cell r="G464">
            <v>838.61</v>
          </cell>
        </row>
        <row r="465">
          <cell r="B465">
            <v>461</v>
          </cell>
          <cell r="C465">
            <v>990.8599999999941</v>
          </cell>
          <cell r="D465">
            <v>1387.2</v>
          </cell>
          <cell r="F465">
            <v>600.30999999999915</v>
          </cell>
          <cell r="G465">
            <v>840.43</v>
          </cell>
        </row>
        <row r="466">
          <cell r="B466">
            <v>462</v>
          </cell>
          <cell r="C466">
            <v>993.00999999999408</v>
          </cell>
          <cell r="D466">
            <v>1390.21</v>
          </cell>
          <cell r="F466">
            <v>601.6099999999991</v>
          </cell>
          <cell r="G466">
            <v>842.25</v>
          </cell>
        </row>
        <row r="467">
          <cell r="B467">
            <v>463</v>
          </cell>
          <cell r="C467">
            <v>995.15999999999406</v>
          </cell>
          <cell r="D467">
            <v>1393.22</v>
          </cell>
          <cell r="F467">
            <v>602.90999999999906</v>
          </cell>
          <cell r="G467">
            <v>844.07</v>
          </cell>
        </row>
        <row r="468">
          <cell r="B468">
            <v>464</v>
          </cell>
          <cell r="C468">
            <v>997.30999999999403</v>
          </cell>
          <cell r="D468">
            <v>1396.23</v>
          </cell>
          <cell r="F468">
            <v>604.20999999999901</v>
          </cell>
          <cell r="G468">
            <v>845.89</v>
          </cell>
        </row>
        <row r="469">
          <cell r="B469">
            <v>465</v>
          </cell>
          <cell r="C469">
            <v>999.45999999999401</v>
          </cell>
          <cell r="D469">
            <v>1399.24</v>
          </cell>
          <cell r="F469">
            <v>605.50999999999897</v>
          </cell>
          <cell r="G469">
            <v>847.71</v>
          </cell>
        </row>
        <row r="470">
          <cell r="B470">
            <v>466</v>
          </cell>
          <cell r="C470">
            <v>1001.609999999994</v>
          </cell>
          <cell r="D470">
            <v>1402.25</v>
          </cell>
          <cell r="F470">
            <v>606.80999999999892</v>
          </cell>
          <cell r="G470">
            <v>849.53</v>
          </cell>
        </row>
        <row r="471">
          <cell r="B471">
            <v>467</v>
          </cell>
          <cell r="C471">
            <v>1003.759999999994</v>
          </cell>
          <cell r="D471">
            <v>1405.26</v>
          </cell>
          <cell r="F471">
            <v>608.10999999999888</v>
          </cell>
          <cell r="G471">
            <v>851.35</v>
          </cell>
        </row>
        <row r="472">
          <cell r="B472">
            <v>468</v>
          </cell>
          <cell r="C472">
            <v>1005.9099999999939</v>
          </cell>
          <cell r="D472">
            <v>1408.27</v>
          </cell>
          <cell r="F472">
            <v>609.40999999999883</v>
          </cell>
          <cell r="G472">
            <v>853.17</v>
          </cell>
        </row>
        <row r="473">
          <cell r="B473">
            <v>469</v>
          </cell>
          <cell r="C473">
            <v>1008.0599999999939</v>
          </cell>
          <cell r="D473">
            <v>1411.28</v>
          </cell>
          <cell r="F473">
            <v>610.70999999999879</v>
          </cell>
          <cell r="G473">
            <v>854.99</v>
          </cell>
        </row>
        <row r="474">
          <cell r="B474">
            <v>470</v>
          </cell>
          <cell r="C474">
            <v>1010.2099999999939</v>
          </cell>
          <cell r="D474">
            <v>1414.29</v>
          </cell>
          <cell r="F474">
            <v>612.00999999999874</v>
          </cell>
          <cell r="G474">
            <v>856.81</v>
          </cell>
        </row>
        <row r="475">
          <cell r="B475">
            <v>471</v>
          </cell>
          <cell r="C475">
            <v>1012.3599999999939</v>
          </cell>
          <cell r="D475">
            <v>1417.3</v>
          </cell>
          <cell r="F475">
            <v>613.30999999999869</v>
          </cell>
          <cell r="G475">
            <v>858.63</v>
          </cell>
        </row>
        <row r="476">
          <cell r="B476">
            <v>472</v>
          </cell>
          <cell r="C476">
            <v>1014.5099999999939</v>
          </cell>
          <cell r="D476">
            <v>1420.31</v>
          </cell>
          <cell r="F476">
            <v>614.60999999999865</v>
          </cell>
          <cell r="G476">
            <v>860.45</v>
          </cell>
        </row>
        <row r="477">
          <cell r="B477">
            <v>473</v>
          </cell>
          <cell r="C477">
            <v>1016.6599999999938</v>
          </cell>
          <cell r="D477">
            <v>1423.32</v>
          </cell>
          <cell r="F477">
            <v>615.9099999999986</v>
          </cell>
          <cell r="G477">
            <v>862.27</v>
          </cell>
        </row>
        <row r="478">
          <cell r="B478">
            <v>474</v>
          </cell>
          <cell r="C478">
            <v>1018.8099999999938</v>
          </cell>
          <cell r="D478">
            <v>1426.33</v>
          </cell>
          <cell r="F478">
            <v>617.20999999999856</v>
          </cell>
          <cell r="G478">
            <v>864.09</v>
          </cell>
        </row>
        <row r="479">
          <cell r="B479">
            <v>475</v>
          </cell>
          <cell r="C479">
            <v>1020.9599999999938</v>
          </cell>
          <cell r="D479">
            <v>1429.34</v>
          </cell>
          <cell r="F479">
            <v>618.50999999999851</v>
          </cell>
          <cell r="G479">
            <v>865.91</v>
          </cell>
        </row>
        <row r="480">
          <cell r="B480">
            <v>476</v>
          </cell>
          <cell r="C480">
            <v>1023.1099999999938</v>
          </cell>
          <cell r="D480">
            <v>1432.35</v>
          </cell>
          <cell r="F480">
            <v>619.80999999999847</v>
          </cell>
          <cell r="G480">
            <v>867.73</v>
          </cell>
        </row>
        <row r="481">
          <cell r="B481">
            <v>477</v>
          </cell>
          <cell r="C481">
            <v>1025.2599999999939</v>
          </cell>
          <cell r="D481">
            <v>1435.36</v>
          </cell>
          <cell r="F481">
            <v>621.10999999999842</v>
          </cell>
          <cell r="G481">
            <v>869.55</v>
          </cell>
        </row>
        <row r="482">
          <cell r="B482">
            <v>478</v>
          </cell>
          <cell r="C482">
            <v>1027.4099999999939</v>
          </cell>
          <cell r="D482">
            <v>1438.37</v>
          </cell>
          <cell r="F482">
            <v>622.40999999999838</v>
          </cell>
          <cell r="G482">
            <v>871.37</v>
          </cell>
        </row>
        <row r="483">
          <cell r="B483">
            <v>479</v>
          </cell>
          <cell r="C483">
            <v>1029.559999999994</v>
          </cell>
          <cell r="D483">
            <v>1441.38</v>
          </cell>
          <cell r="F483">
            <v>623.70999999999833</v>
          </cell>
          <cell r="G483">
            <v>873.19</v>
          </cell>
        </row>
        <row r="484">
          <cell r="B484">
            <v>480</v>
          </cell>
          <cell r="C484">
            <v>1031.7099999999941</v>
          </cell>
          <cell r="D484">
            <v>1444.39</v>
          </cell>
          <cell r="F484">
            <v>625.00999999999829</v>
          </cell>
          <cell r="G484">
            <v>875.01</v>
          </cell>
        </row>
        <row r="485">
          <cell r="B485">
            <v>481</v>
          </cell>
          <cell r="C485">
            <v>1033.8599999999942</v>
          </cell>
          <cell r="D485">
            <v>1447.4</v>
          </cell>
          <cell r="F485">
            <v>626.30999999999824</v>
          </cell>
          <cell r="G485">
            <v>876.83</v>
          </cell>
        </row>
        <row r="486">
          <cell r="B486">
            <v>482</v>
          </cell>
          <cell r="C486">
            <v>1036.0099999999943</v>
          </cell>
          <cell r="D486">
            <v>1450.41</v>
          </cell>
          <cell r="F486">
            <v>627.60999999999819</v>
          </cell>
          <cell r="G486">
            <v>878.65</v>
          </cell>
        </row>
        <row r="487">
          <cell r="B487">
            <v>483</v>
          </cell>
          <cell r="C487">
            <v>1038.1599999999944</v>
          </cell>
          <cell r="D487">
            <v>1453.42</v>
          </cell>
          <cell r="F487">
            <v>628.90999999999815</v>
          </cell>
          <cell r="G487">
            <v>880.47</v>
          </cell>
        </row>
        <row r="488">
          <cell r="B488">
            <v>484</v>
          </cell>
          <cell r="C488">
            <v>1040.3099999999945</v>
          </cell>
          <cell r="D488">
            <v>1456.43</v>
          </cell>
          <cell r="F488">
            <v>630.2099999999981</v>
          </cell>
          <cell r="G488">
            <v>882.29</v>
          </cell>
        </row>
        <row r="489">
          <cell r="B489">
            <v>485</v>
          </cell>
          <cell r="C489">
            <v>1042.4599999999946</v>
          </cell>
          <cell r="D489">
            <v>1459.44</v>
          </cell>
          <cell r="F489">
            <v>631.50999999999806</v>
          </cell>
          <cell r="G489">
            <v>884.11</v>
          </cell>
        </row>
        <row r="490">
          <cell r="B490">
            <v>486</v>
          </cell>
          <cell r="C490">
            <v>1044.6099999999947</v>
          </cell>
          <cell r="D490">
            <v>1462.45</v>
          </cell>
          <cell r="F490">
            <v>632.80999999999801</v>
          </cell>
          <cell r="G490">
            <v>885.93</v>
          </cell>
        </row>
        <row r="491">
          <cell r="B491">
            <v>487</v>
          </cell>
          <cell r="C491">
            <v>1046.7599999999948</v>
          </cell>
          <cell r="D491">
            <v>1465.46</v>
          </cell>
          <cell r="F491">
            <v>634.10999999999797</v>
          </cell>
          <cell r="G491">
            <v>887.75</v>
          </cell>
        </row>
        <row r="492">
          <cell r="B492">
            <v>488</v>
          </cell>
          <cell r="C492">
            <v>1048.9099999999949</v>
          </cell>
          <cell r="D492">
            <v>1468.47</v>
          </cell>
          <cell r="F492">
            <v>635.40999999999792</v>
          </cell>
          <cell r="G492">
            <v>889.57</v>
          </cell>
        </row>
        <row r="493">
          <cell r="B493">
            <v>489</v>
          </cell>
          <cell r="C493">
            <v>1051.0599999999949</v>
          </cell>
          <cell r="D493">
            <v>1471.48</v>
          </cell>
          <cell r="F493">
            <v>636.70999999999788</v>
          </cell>
          <cell r="G493">
            <v>891.39</v>
          </cell>
        </row>
        <row r="494">
          <cell r="B494">
            <v>490</v>
          </cell>
          <cell r="C494">
            <v>1053.209999999995</v>
          </cell>
          <cell r="D494">
            <v>1474.49</v>
          </cell>
          <cell r="F494">
            <v>638.00999999999783</v>
          </cell>
          <cell r="G494">
            <v>893.21</v>
          </cell>
        </row>
        <row r="495">
          <cell r="B495">
            <v>491</v>
          </cell>
          <cell r="C495">
            <v>1055.3599999999951</v>
          </cell>
          <cell r="D495">
            <v>1477.5</v>
          </cell>
          <cell r="F495">
            <v>639.30999999999779</v>
          </cell>
          <cell r="G495">
            <v>895.03</v>
          </cell>
        </row>
        <row r="496">
          <cell r="B496">
            <v>492</v>
          </cell>
          <cell r="C496">
            <v>1057.5099999999952</v>
          </cell>
          <cell r="D496">
            <v>1480.51</v>
          </cell>
          <cell r="F496">
            <v>640.60999999999774</v>
          </cell>
          <cell r="G496">
            <v>896.85</v>
          </cell>
        </row>
        <row r="497">
          <cell r="B497">
            <v>493</v>
          </cell>
          <cell r="C497">
            <v>1059.6599999999953</v>
          </cell>
          <cell r="D497">
            <v>1483.52</v>
          </cell>
          <cell r="F497">
            <v>641.90999999999769</v>
          </cell>
          <cell r="G497">
            <v>898.67</v>
          </cell>
        </row>
        <row r="498">
          <cell r="B498">
            <v>494</v>
          </cell>
          <cell r="C498">
            <v>1061.8099999999954</v>
          </cell>
          <cell r="D498">
            <v>1486.53</v>
          </cell>
          <cell r="F498">
            <v>643.20999999999765</v>
          </cell>
          <cell r="G498">
            <v>900.49</v>
          </cell>
        </row>
        <row r="499">
          <cell r="B499">
            <v>495</v>
          </cell>
          <cell r="C499">
            <v>1063.9599999999955</v>
          </cell>
          <cell r="D499">
            <v>1489.54</v>
          </cell>
          <cell r="F499">
            <v>644.5099999999976</v>
          </cell>
          <cell r="G499">
            <v>902.31</v>
          </cell>
        </row>
        <row r="500">
          <cell r="B500">
            <v>496</v>
          </cell>
          <cell r="C500">
            <v>1066.1099999999956</v>
          </cell>
          <cell r="D500">
            <v>1492.55</v>
          </cell>
          <cell r="F500">
            <v>645.80999999999756</v>
          </cell>
          <cell r="G500">
            <v>904.13</v>
          </cell>
        </row>
        <row r="501">
          <cell r="B501">
            <v>497</v>
          </cell>
          <cell r="C501">
            <v>1068.2599999999957</v>
          </cell>
          <cell r="D501">
            <v>1495.56</v>
          </cell>
          <cell r="F501">
            <v>647.10999999999751</v>
          </cell>
          <cell r="G501">
            <v>905.95</v>
          </cell>
        </row>
        <row r="502">
          <cell r="B502">
            <v>498</v>
          </cell>
          <cell r="C502">
            <v>1070.4099999999958</v>
          </cell>
          <cell r="D502">
            <v>1498.57</v>
          </cell>
          <cell r="F502">
            <v>648.40999999999747</v>
          </cell>
          <cell r="G502">
            <v>907.77</v>
          </cell>
        </row>
        <row r="503">
          <cell r="B503">
            <v>499</v>
          </cell>
          <cell r="C503">
            <v>1072.5599999999959</v>
          </cell>
          <cell r="D503">
            <v>1501.58</v>
          </cell>
          <cell r="F503">
            <v>649.70999999999742</v>
          </cell>
          <cell r="G503">
            <v>909.59</v>
          </cell>
        </row>
        <row r="504">
          <cell r="B504">
            <v>500</v>
          </cell>
          <cell r="C504">
            <v>1074.7099999999959</v>
          </cell>
          <cell r="D504">
            <v>1504.59</v>
          </cell>
          <cell r="F504">
            <v>651.00999999999738</v>
          </cell>
          <cell r="G504">
            <v>911.41</v>
          </cell>
        </row>
        <row r="505">
          <cell r="B505">
            <v>501</v>
          </cell>
          <cell r="C505">
            <v>1076.859999999996</v>
          </cell>
          <cell r="D505">
            <v>1507.6</v>
          </cell>
          <cell r="F505">
            <v>652.30999999999733</v>
          </cell>
          <cell r="G505">
            <v>913.23</v>
          </cell>
        </row>
        <row r="506">
          <cell r="B506">
            <v>502</v>
          </cell>
          <cell r="C506">
            <v>1079.0099999999961</v>
          </cell>
          <cell r="D506">
            <v>1510.61</v>
          </cell>
          <cell r="F506">
            <v>653.60999999999729</v>
          </cell>
          <cell r="G506">
            <v>915.05</v>
          </cell>
        </row>
        <row r="507">
          <cell r="B507">
            <v>503</v>
          </cell>
          <cell r="C507">
            <v>1081.1599999999962</v>
          </cell>
          <cell r="D507">
            <v>1513.62</v>
          </cell>
          <cell r="F507">
            <v>654.90999999999724</v>
          </cell>
          <cell r="G507">
            <v>916.87</v>
          </cell>
        </row>
        <row r="508">
          <cell r="B508">
            <v>504</v>
          </cell>
          <cell r="C508">
            <v>1083.3099999999963</v>
          </cell>
          <cell r="D508">
            <v>1516.63</v>
          </cell>
          <cell r="F508">
            <v>656.20999999999719</v>
          </cell>
          <cell r="G508">
            <v>918.69</v>
          </cell>
        </row>
        <row r="509">
          <cell r="B509">
            <v>505</v>
          </cell>
          <cell r="C509">
            <v>1085.4599999999964</v>
          </cell>
          <cell r="D509">
            <v>1519.64</v>
          </cell>
          <cell r="F509">
            <v>657.50999999999715</v>
          </cell>
          <cell r="G509">
            <v>920.51</v>
          </cell>
        </row>
        <row r="510">
          <cell r="B510">
            <v>506</v>
          </cell>
          <cell r="C510">
            <v>1087.6099999999965</v>
          </cell>
          <cell r="D510">
            <v>1522.65</v>
          </cell>
          <cell r="F510">
            <v>658.8099999999971</v>
          </cell>
          <cell r="G510">
            <v>922.33</v>
          </cell>
        </row>
        <row r="511">
          <cell r="B511">
            <v>507</v>
          </cell>
          <cell r="C511">
            <v>1089.7599999999966</v>
          </cell>
          <cell r="D511">
            <v>1525.66</v>
          </cell>
          <cell r="F511">
            <v>660.10999999999706</v>
          </cell>
          <cell r="G511">
            <v>924.15</v>
          </cell>
        </row>
        <row r="512">
          <cell r="B512">
            <v>508</v>
          </cell>
          <cell r="C512">
            <v>1091.9099999999967</v>
          </cell>
          <cell r="D512">
            <v>1528.67</v>
          </cell>
          <cell r="F512">
            <v>661.40999999999701</v>
          </cell>
          <cell r="G512">
            <v>925.97</v>
          </cell>
        </row>
        <row r="513">
          <cell r="B513">
            <v>509</v>
          </cell>
          <cell r="C513">
            <v>1094.0599999999968</v>
          </cell>
          <cell r="D513">
            <v>1531.68</v>
          </cell>
          <cell r="F513">
            <v>662.70999999999697</v>
          </cell>
          <cell r="G513">
            <v>927.79</v>
          </cell>
        </row>
        <row r="514">
          <cell r="B514">
            <v>510</v>
          </cell>
          <cell r="C514">
            <v>1096.2099999999969</v>
          </cell>
          <cell r="D514">
            <v>1534.69</v>
          </cell>
          <cell r="F514">
            <v>664.00999999999692</v>
          </cell>
          <cell r="G514">
            <v>929.61</v>
          </cell>
        </row>
        <row r="515">
          <cell r="B515">
            <v>511</v>
          </cell>
          <cell r="C515">
            <v>1098.3599999999969</v>
          </cell>
          <cell r="D515">
            <v>1537.7</v>
          </cell>
          <cell r="F515">
            <v>665.30999999999688</v>
          </cell>
          <cell r="G515">
            <v>931.43</v>
          </cell>
        </row>
        <row r="516">
          <cell r="B516">
            <v>512</v>
          </cell>
          <cell r="C516">
            <v>1100.509999999997</v>
          </cell>
          <cell r="D516">
            <v>1540.71</v>
          </cell>
          <cell r="F516">
            <v>666.60999999999683</v>
          </cell>
          <cell r="G516">
            <v>933.25</v>
          </cell>
        </row>
        <row r="517">
          <cell r="B517">
            <v>513</v>
          </cell>
          <cell r="C517">
            <v>1102.6599999999971</v>
          </cell>
          <cell r="D517">
            <v>1543.72</v>
          </cell>
          <cell r="F517">
            <v>667.90999999999678</v>
          </cell>
          <cell r="G517">
            <v>935.07</v>
          </cell>
        </row>
        <row r="518">
          <cell r="B518">
            <v>514</v>
          </cell>
          <cell r="C518">
            <v>1104.8099999999972</v>
          </cell>
          <cell r="D518">
            <v>1546.73</v>
          </cell>
          <cell r="F518">
            <v>669.20999999999674</v>
          </cell>
          <cell r="G518">
            <v>936.89</v>
          </cell>
        </row>
        <row r="519">
          <cell r="B519">
            <v>515</v>
          </cell>
          <cell r="C519">
            <v>1106.9599999999973</v>
          </cell>
          <cell r="D519">
            <v>1549.74</v>
          </cell>
          <cell r="F519">
            <v>670.50999999999669</v>
          </cell>
          <cell r="G519">
            <v>938.71</v>
          </cell>
        </row>
        <row r="520">
          <cell r="B520">
            <v>516</v>
          </cell>
          <cell r="C520">
            <v>1109.1099999999974</v>
          </cell>
          <cell r="D520">
            <v>1552.75</v>
          </cell>
          <cell r="F520">
            <v>671.80999999999665</v>
          </cell>
          <cell r="G520">
            <v>940.53</v>
          </cell>
        </row>
        <row r="521">
          <cell r="B521">
            <v>517</v>
          </cell>
          <cell r="C521">
            <v>1111.2599999999975</v>
          </cell>
          <cell r="D521">
            <v>1555.76</v>
          </cell>
          <cell r="F521">
            <v>673.1099999999966</v>
          </cell>
          <cell r="G521">
            <v>942.35</v>
          </cell>
        </row>
        <row r="522">
          <cell r="B522">
            <v>518</v>
          </cell>
          <cell r="C522">
            <v>1113.4099999999976</v>
          </cell>
          <cell r="D522">
            <v>1558.77</v>
          </cell>
          <cell r="F522">
            <v>674.40999999999656</v>
          </cell>
          <cell r="G522">
            <v>944.17</v>
          </cell>
        </row>
        <row r="523">
          <cell r="B523">
            <v>519</v>
          </cell>
          <cell r="C523">
            <v>1115.5599999999977</v>
          </cell>
          <cell r="D523">
            <v>1561.78</v>
          </cell>
          <cell r="F523">
            <v>675.70999999999651</v>
          </cell>
          <cell r="G523">
            <v>945.99</v>
          </cell>
        </row>
        <row r="524">
          <cell r="B524">
            <v>520</v>
          </cell>
          <cell r="C524">
            <v>1117.7099999999978</v>
          </cell>
          <cell r="D524">
            <v>1564.79</v>
          </cell>
          <cell r="F524">
            <v>677.00999999999647</v>
          </cell>
          <cell r="G524">
            <v>947.81</v>
          </cell>
        </row>
        <row r="525">
          <cell r="B525">
            <v>521</v>
          </cell>
          <cell r="C525">
            <v>1119.8599999999979</v>
          </cell>
          <cell r="D525">
            <v>1567.8</v>
          </cell>
          <cell r="F525">
            <v>678.30999999999642</v>
          </cell>
          <cell r="G525">
            <v>949.63</v>
          </cell>
        </row>
        <row r="526">
          <cell r="B526">
            <v>522</v>
          </cell>
          <cell r="C526">
            <v>1122.0099999999979</v>
          </cell>
          <cell r="D526">
            <v>1570.81</v>
          </cell>
          <cell r="F526">
            <v>679.60999999999638</v>
          </cell>
          <cell r="G526">
            <v>951.45</v>
          </cell>
        </row>
        <row r="527">
          <cell r="B527">
            <v>523</v>
          </cell>
          <cell r="C527">
            <v>1124.159999999998</v>
          </cell>
          <cell r="D527">
            <v>1573.82</v>
          </cell>
          <cell r="F527">
            <v>680.90999999999633</v>
          </cell>
          <cell r="G527">
            <v>953.27</v>
          </cell>
        </row>
        <row r="528">
          <cell r="B528">
            <v>524</v>
          </cell>
          <cell r="C528">
            <v>1126.3099999999981</v>
          </cell>
          <cell r="D528">
            <v>1576.83</v>
          </cell>
          <cell r="F528">
            <v>682.20999999999628</v>
          </cell>
          <cell r="G528">
            <v>955.09</v>
          </cell>
        </row>
        <row r="529">
          <cell r="B529">
            <v>525</v>
          </cell>
          <cell r="C529">
            <v>1128.4599999999982</v>
          </cell>
          <cell r="D529">
            <v>1579.84</v>
          </cell>
          <cell r="F529">
            <v>683.50999999999624</v>
          </cell>
          <cell r="G529">
            <v>956.91</v>
          </cell>
        </row>
        <row r="530">
          <cell r="B530">
            <v>526</v>
          </cell>
          <cell r="C530">
            <v>1130.6099999999983</v>
          </cell>
          <cell r="D530">
            <v>1582.85</v>
          </cell>
          <cell r="F530">
            <v>684.80999999999619</v>
          </cell>
          <cell r="G530">
            <v>958.73</v>
          </cell>
        </row>
        <row r="531">
          <cell r="B531">
            <v>527</v>
          </cell>
          <cell r="C531">
            <v>1132.7599999999984</v>
          </cell>
          <cell r="D531">
            <v>1585.86</v>
          </cell>
          <cell r="F531">
            <v>686.10999999999615</v>
          </cell>
          <cell r="G531">
            <v>960.55</v>
          </cell>
        </row>
        <row r="532">
          <cell r="B532">
            <v>528</v>
          </cell>
          <cell r="C532">
            <v>1134.9099999999985</v>
          </cell>
          <cell r="D532">
            <v>1588.87</v>
          </cell>
          <cell r="F532">
            <v>687.4099999999961</v>
          </cell>
          <cell r="G532">
            <v>962.37</v>
          </cell>
        </row>
        <row r="533">
          <cell r="B533">
            <v>529</v>
          </cell>
          <cell r="C533">
            <v>1137.0599999999986</v>
          </cell>
          <cell r="D533">
            <v>1591.88</v>
          </cell>
          <cell r="F533">
            <v>688.70999999999606</v>
          </cell>
          <cell r="G533">
            <v>964.19</v>
          </cell>
        </row>
        <row r="534">
          <cell r="B534">
            <v>530</v>
          </cell>
          <cell r="C534">
            <v>1139.2099999999987</v>
          </cell>
          <cell r="D534">
            <v>1594.89</v>
          </cell>
          <cell r="F534">
            <v>690.00999999999601</v>
          </cell>
          <cell r="G534">
            <v>966.01</v>
          </cell>
        </row>
        <row r="535">
          <cell r="B535">
            <v>531</v>
          </cell>
          <cell r="C535">
            <v>1141.3599999999988</v>
          </cell>
          <cell r="D535">
            <v>1597.9</v>
          </cell>
          <cell r="F535">
            <v>691.30999999999597</v>
          </cell>
          <cell r="G535">
            <v>967.83</v>
          </cell>
        </row>
        <row r="536">
          <cell r="B536">
            <v>532</v>
          </cell>
          <cell r="C536">
            <v>1143.5099999999989</v>
          </cell>
          <cell r="D536">
            <v>1600.91</v>
          </cell>
          <cell r="F536">
            <v>692.60999999999592</v>
          </cell>
          <cell r="G536">
            <v>969.65</v>
          </cell>
        </row>
        <row r="537">
          <cell r="B537">
            <v>533</v>
          </cell>
          <cell r="C537">
            <v>1145.6599999999989</v>
          </cell>
          <cell r="D537">
            <v>1603.92</v>
          </cell>
          <cell r="F537">
            <v>693.90999999999588</v>
          </cell>
          <cell r="G537">
            <v>971.47</v>
          </cell>
        </row>
        <row r="538">
          <cell r="B538">
            <v>534</v>
          </cell>
          <cell r="C538">
            <v>1147.809999999999</v>
          </cell>
          <cell r="D538">
            <v>1606.93</v>
          </cell>
          <cell r="F538">
            <v>695.20999999999583</v>
          </cell>
          <cell r="G538">
            <v>973.29</v>
          </cell>
        </row>
        <row r="539">
          <cell r="B539">
            <v>535</v>
          </cell>
          <cell r="C539">
            <v>1149.9599999999991</v>
          </cell>
          <cell r="D539">
            <v>1609.94</v>
          </cell>
          <cell r="F539">
            <v>696.50999999999578</v>
          </cell>
          <cell r="G539">
            <v>975.11</v>
          </cell>
        </row>
        <row r="540">
          <cell r="B540">
            <v>536</v>
          </cell>
          <cell r="C540">
            <v>1152.1099999999992</v>
          </cell>
          <cell r="D540">
            <v>1612.95</v>
          </cell>
          <cell r="F540">
            <v>697.80999999999574</v>
          </cell>
          <cell r="G540">
            <v>976.93</v>
          </cell>
        </row>
        <row r="541">
          <cell r="B541">
            <v>537</v>
          </cell>
          <cell r="C541">
            <v>1154.2599999999993</v>
          </cell>
          <cell r="D541">
            <v>1615.96</v>
          </cell>
          <cell r="F541">
            <v>699.10999999999569</v>
          </cell>
          <cell r="G541">
            <v>978.75</v>
          </cell>
        </row>
        <row r="542">
          <cell r="B542">
            <v>538</v>
          </cell>
          <cell r="C542">
            <v>1156.4099999999994</v>
          </cell>
          <cell r="D542">
            <v>1618.97</v>
          </cell>
          <cell r="F542">
            <v>700.40999999999565</v>
          </cell>
          <cell r="G542">
            <v>980.57</v>
          </cell>
        </row>
        <row r="543">
          <cell r="B543">
            <v>539</v>
          </cell>
          <cell r="C543">
            <v>1158.5599999999995</v>
          </cell>
          <cell r="D543">
            <v>1621.98</v>
          </cell>
          <cell r="F543">
            <v>701.7099999999956</v>
          </cell>
          <cell r="G543">
            <v>982.39</v>
          </cell>
        </row>
        <row r="544">
          <cell r="B544">
            <v>540</v>
          </cell>
          <cell r="C544">
            <v>1160.7099999999996</v>
          </cell>
          <cell r="D544">
            <v>1624.99</v>
          </cell>
          <cell r="F544">
            <v>703.00999999999556</v>
          </cell>
          <cell r="G544">
            <v>984.21</v>
          </cell>
        </row>
        <row r="545">
          <cell r="B545">
            <v>541</v>
          </cell>
          <cell r="C545">
            <v>1162.8599999999997</v>
          </cell>
          <cell r="D545">
            <v>1628</v>
          </cell>
          <cell r="F545">
            <v>704.30999999999551</v>
          </cell>
          <cell r="G545">
            <v>986.03</v>
          </cell>
        </row>
        <row r="546">
          <cell r="B546">
            <v>542</v>
          </cell>
          <cell r="C546">
            <v>1165.0099999999998</v>
          </cell>
          <cell r="D546">
            <v>1631.01</v>
          </cell>
          <cell r="F546">
            <v>705.60999999999547</v>
          </cell>
          <cell r="G546">
            <v>987.85</v>
          </cell>
        </row>
        <row r="547">
          <cell r="B547">
            <v>543</v>
          </cell>
          <cell r="C547">
            <v>1167.1599999999999</v>
          </cell>
          <cell r="D547">
            <v>1634.02</v>
          </cell>
          <cell r="F547">
            <v>706.90999999999542</v>
          </cell>
          <cell r="G547">
            <v>989.67</v>
          </cell>
        </row>
        <row r="548">
          <cell r="B548">
            <v>544</v>
          </cell>
          <cell r="C548">
            <v>1169.31</v>
          </cell>
          <cell r="D548">
            <v>1637.03</v>
          </cell>
          <cell r="F548">
            <v>708.20999999999538</v>
          </cell>
          <cell r="G548">
            <v>991.49</v>
          </cell>
        </row>
        <row r="549">
          <cell r="B549">
            <v>545</v>
          </cell>
          <cell r="C549">
            <v>1171.46</v>
          </cell>
          <cell r="D549">
            <v>1640.04</v>
          </cell>
          <cell r="F549">
            <v>709.50999999999533</v>
          </cell>
          <cell r="G549">
            <v>993.31</v>
          </cell>
        </row>
        <row r="550">
          <cell r="B550">
            <v>546</v>
          </cell>
          <cell r="C550">
            <v>1173.6100000000001</v>
          </cell>
          <cell r="D550">
            <v>1643.05</v>
          </cell>
          <cell r="F550">
            <v>710.80999999999528</v>
          </cell>
          <cell r="G550">
            <v>995.13</v>
          </cell>
        </row>
        <row r="551">
          <cell r="B551">
            <v>547</v>
          </cell>
          <cell r="C551">
            <v>1175.7600000000002</v>
          </cell>
          <cell r="D551">
            <v>1646.06</v>
          </cell>
          <cell r="F551">
            <v>712.10999999999524</v>
          </cell>
          <cell r="G551">
            <v>996.95</v>
          </cell>
        </row>
        <row r="552">
          <cell r="B552">
            <v>548</v>
          </cell>
          <cell r="C552">
            <v>1177.9100000000003</v>
          </cell>
          <cell r="D552">
            <v>1649.07</v>
          </cell>
          <cell r="F552">
            <v>713.40999999999519</v>
          </cell>
          <cell r="G552">
            <v>998.77</v>
          </cell>
        </row>
        <row r="553">
          <cell r="B553">
            <v>549</v>
          </cell>
          <cell r="C553">
            <v>1180.0600000000004</v>
          </cell>
          <cell r="D553">
            <v>1652.08</v>
          </cell>
          <cell r="F553">
            <v>714.70999999999515</v>
          </cell>
          <cell r="G553">
            <v>1000.59</v>
          </cell>
        </row>
        <row r="554">
          <cell r="B554">
            <v>550</v>
          </cell>
          <cell r="C554">
            <v>1182.2100000000005</v>
          </cell>
          <cell r="D554">
            <v>1655.09</v>
          </cell>
          <cell r="F554">
            <v>716.0099999999951</v>
          </cell>
          <cell r="G554">
            <v>1002.41</v>
          </cell>
        </row>
        <row r="555">
          <cell r="B555">
            <v>551</v>
          </cell>
          <cell r="C555">
            <v>1184.3600000000006</v>
          </cell>
          <cell r="D555">
            <v>1658.1</v>
          </cell>
          <cell r="F555">
            <v>717.30999999999506</v>
          </cell>
          <cell r="G555">
            <v>1004.23</v>
          </cell>
        </row>
        <row r="556">
          <cell r="B556">
            <v>552</v>
          </cell>
          <cell r="C556">
            <v>1186.5100000000007</v>
          </cell>
          <cell r="D556">
            <v>1661.11</v>
          </cell>
          <cell r="F556">
            <v>718.60999999999501</v>
          </cell>
          <cell r="G556">
            <v>1006.05</v>
          </cell>
        </row>
        <row r="557">
          <cell r="B557">
            <v>553</v>
          </cell>
          <cell r="C557">
            <v>1188.6600000000008</v>
          </cell>
          <cell r="D557">
            <v>1664.12</v>
          </cell>
          <cell r="F557">
            <v>719.90999999999497</v>
          </cell>
          <cell r="G557">
            <v>1007.87</v>
          </cell>
        </row>
        <row r="558">
          <cell r="B558">
            <v>554</v>
          </cell>
          <cell r="C558">
            <v>1190.8100000000009</v>
          </cell>
          <cell r="D558">
            <v>1667.13</v>
          </cell>
          <cell r="F558">
            <v>721.20999999999492</v>
          </cell>
          <cell r="G558">
            <v>1009.69</v>
          </cell>
        </row>
        <row r="559">
          <cell r="B559">
            <v>555</v>
          </cell>
          <cell r="C559">
            <v>1192.9600000000009</v>
          </cell>
          <cell r="D559">
            <v>1670.14</v>
          </cell>
          <cell r="F559">
            <v>722.50999999999487</v>
          </cell>
          <cell r="G559">
            <v>1011.51</v>
          </cell>
        </row>
        <row r="560">
          <cell r="B560">
            <v>556</v>
          </cell>
          <cell r="C560">
            <v>1195.110000000001</v>
          </cell>
          <cell r="D560">
            <v>1673.15</v>
          </cell>
          <cell r="F560">
            <v>723.80999999999483</v>
          </cell>
          <cell r="G560">
            <v>1013.33</v>
          </cell>
        </row>
        <row r="561">
          <cell r="B561">
            <v>557</v>
          </cell>
          <cell r="C561">
            <v>1197.2600000000011</v>
          </cell>
          <cell r="D561">
            <v>1676.16</v>
          </cell>
          <cell r="F561">
            <v>725.10999999999478</v>
          </cell>
          <cell r="G561">
            <v>1015.15</v>
          </cell>
        </row>
        <row r="562">
          <cell r="B562">
            <v>558</v>
          </cell>
          <cell r="C562">
            <v>1199.4100000000012</v>
          </cell>
          <cell r="D562">
            <v>1679.17</v>
          </cell>
          <cell r="F562">
            <v>726.40999999999474</v>
          </cell>
          <cell r="G562">
            <v>1016.97</v>
          </cell>
        </row>
        <row r="563">
          <cell r="B563">
            <v>559</v>
          </cell>
          <cell r="C563">
            <v>1201.5600000000013</v>
          </cell>
          <cell r="D563">
            <v>1682.18</v>
          </cell>
          <cell r="F563">
            <v>727.70999999999469</v>
          </cell>
          <cell r="G563">
            <v>1018.79</v>
          </cell>
        </row>
        <row r="564">
          <cell r="B564">
            <v>560</v>
          </cell>
          <cell r="C564">
            <v>1203.7100000000014</v>
          </cell>
          <cell r="D564">
            <v>1685.19</v>
          </cell>
          <cell r="F564">
            <v>729.00999999999465</v>
          </cell>
          <cell r="G564">
            <v>1020.61</v>
          </cell>
        </row>
        <row r="565">
          <cell r="B565">
            <v>561</v>
          </cell>
          <cell r="C565">
            <v>1205.8600000000015</v>
          </cell>
          <cell r="D565">
            <v>1688.2</v>
          </cell>
          <cell r="F565">
            <v>730.3099999999946</v>
          </cell>
          <cell r="G565">
            <v>1022.43</v>
          </cell>
        </row>
        <row r="566">
          <cell r="B566">
            <v>562</v>
          </cell>
          <cell r="C566">
            <v>1208.0100000000016</v>
          </cell>
          <cell r="D566">
            <v>1691.21</v>
          </cell>
          <cell r="F566">
            <v>731.60999999999456</v>
          </cell>
          <cell r="G566">
            <v>1024.25</v>
          </cell>
        </row>
        <row r="567">
          <cell r="B567">
            <v>563</v>
          </cell>
          <cell r="C567">
            <v>1210.1600000000017</v>
          </cell>
          <cell r="D567">
            <v>1694.22</v>
          </cell>
          <cell r="F567">
            <v>732.90999999999451</v>
          </cell>
          <cell r="G567">
            <v>1026.07</v>
          </cell>
        </row>
        <row r="568">
          <cell r="B568">
            <v>564</v>
          </cell>
          <cell r="C568">
            <v>1212.3100000000018</v>
          </cell>
          <cell r="D568">
            <v>1697.23</v>
          </cell>
          <cell r="F568">
            <v>734.20999999999447</v>
          </cell>
          <cell r="G568">
            <v>1027.8900000000001</v>
          </cell>
        </row>
        <row r="569">
          <cell r="B569">
            <v>565</v>
          </cell>
          <cell r="C569">
            <v>1214.4600000000019</v>
          </cell>
          <cell r="D569">
            <v>1700.24</v>
          </cell>
          <cell r="F569">
            <v>735.50999999999442</v>
          </cell>
          <cell r="G569">
            <v>1029.71</v>
          </cell>
        </row>
        <row r="570">
          <cell r="B570">
            <v>566</v>
          </cell>
          <cell r="C570">
            <v>1216.6100000000019</v>
          </cell>
          <cell r="D570">
            <v>1703.25</v>
          </cell>
          <cell r="F570">
            <v>736.80999999999437</v>
          </cell>
          <cell r="G570">
            <v>1031.53</v>
          </cell>
        </row>
        <row r="571">
          <cell r="B571">
            <v>567</v>
          </cell>
          <cell r="C571">
            <v>1218.760000000002</v>
          </cell>
          <cell r="D571">
            <v>1706.26</v>
          </cell>
          <cell r="F571">
            <v>738.10999999999433</v>
          </cell>
          <cell r="G571">
            <v>1033.3499999999999</v>
          </cell>
        </row>
        <row r="572">
          <cell r="B572">
            <v>568</v>
          </cell>
          <cell r="C572">
            <v>1220.9100000000021</v>
          </cell>
          <cell r="D572">
            <v>1709.27</v>
          </cell>
          <cell r="F572">
            <v>739.40999999999428</v>
          </cell>
          <cell r="G572">
            <v>1035.17</v>
          </cell>
        </row>
        <row r="573">
          <cell r="B573">
            <v>569</v>
          </cell>
          <cell r="C573">
            <v>1223.0600000000022</v>
          </cell>
          <cell r="D573">
            <v>1712.28</v>
          </cell>
          <cell r="F573">
            <v>740.70999999999424</v>
          </cell>
          <cell r="G573">
            <v>1036.99</v>
          </cell>
        </row>
        <row r="574">
          <cell r="B574">
            <v>570</v>
          </cell>
          <cell r="C574">
            <v>1225.2100000000023</v>
          </cell>
          <cell r="D574">
            <v>1715.29</v>
          </cell>
          <cell r="F574">
            <v>742.00999999999419</v>
          </cell>
          <cell r="G574">
            <v>1038.81</v>
          </cell>
        </row>
        <row r="575">
          <cell r="B575">
            <v>571</v>
          </cell>
          <cell r="C575">
            <v>1227.3600000000024</v>
          </cell>
          <cell r="D575">
            <v>1718.3</v>
          </cell>
          <cell r="F575">
            <v>743.30999999999415</v>
          </cell>
          <cell r="G575">
            <v>1040.6300000000001</v>
          </cell>
        </row>
        <row r="576">
          <cell r="B576">
            <v>572</v>
          </cell>
          <cell r="C576">
            <v>1229.5100000000025</v>
          </cell>
          <cell r="D576">
            <v>1721.31</v>
          </cell>
          <cell r="F576">
            <v>744.6099999999941</v>
          </cell>
          <cell r="G576">
            <v>1042.45</v>
          </cell>
        </row>
        <row r="577">
          <cell r="B577">
            <v>573</v>
          </cell>
          <cell r="C577">
            <v>1231.6600000000026</v>
          </cell>
          <cell r="D577">
            <v>1724.32</v>
          </cell>
          <cell r="F577">
            <v>745.90999999999406</v>
          </cell>
          <cell r="G577">
            <v>1044.27</v>
          </cell>
        </row>
        <row r="578">
          <cell r="B578">
            <v>574</v>
          </cell>
          <cell r="C578">
            <v>1233.8100000000027</v>
          </cell>
          <cell r="D578">
            <v>1727.33</v>
          </cell>
          <cell r="F578">
            <v>747.20999999999401</v>
          </cell>
          <cell r="G578">
            <v>1046.0899999999999</v>
          </cell>
        </row>
        <row r="579">
          <cell r="B579">
            <v>575</v>
          </cell>
          <cell r="C579">
            <v>1235.9600000000028</v>
          </cell>
          <cell r="D579">
            <v>1730.34</v>
          </cell>
          <cell r="F579">
            <v>748.50999999999397</v>
          </cell>
          <cell r="G579">
            <v>1047.9100000000001</v>
          </cell>
        </row>
        <row r="580">
          <cell r="B580">
            <v>576</v>
          </cell>
          <cell r="C580">
            <v>1238.1100000000029</v>
          </cell>
          <cell r="D580">
            <v>1733.35</v>
          </cell>
          <cell r="F580">
            <v>749.80999999999392</v>
          </cell>
          <cell r="G580">
            <v>1049.73</v>
          </cell>
        </row>
        <row r="581">
          <cell r="B581">
            <v>577</v>
          </cell>
          <cell r="C581">
            <v>1240.2600000000029</v>
          </cell>
          <cell r="D581">
            <v>1736.36</v>
          </cell>
          <cell r="F581">
            <v>751.10999999999387</v>
          </cell>
          <cell r="G581">
            <v>1051.55</v>
          </cell>
        </row>
        <row r="582">
          <cell r="B582">
            <v>578</v>
          </cell>
          <cell r="C582">
            <v>1242.410000000003</v>
          </cell>
          <cell r="D582">
            <v>1739.37</v>
          </cell>
          <cell r="F582">
            <v>752.40999999999383</v>
          </cell>
          <cell r="G582">
            <v>1053.3699999999999</v>
          </cell>
        </row>
        <row r="583">
          <cell r="B583">
            <v>579</v>
          </cell>
          <cell r="C583">
            <v>1244.5600000000031</v>
          </cell>
          <cell r="D583">
            <v>1742.38</v>
          </cell>
          <cell r="F583">
            <v>753.70999999999378</v>
          </cell>
          <cell r="G583">
            <v>1055.19</v>
          </cell>
        </row>
        <row r="584">
          <cell r="B584">
            <v>580</v>
          </cell>
          <cell r="C584">
            <v>1246.7100000000032</v>
          </cell>
          <cell r="D584">
            <v>1745.39</v>
          </cell>
          <cell r="F584">
            <v>755.00999999999374</v>
          </cell>
          <cell r="G584">
            <v>1057.01</v>
          </cell>
        </row>
        <row r="585">
          <cell r="B585">
            <v>581</v>
          </cell>
          <cell r="C585">
            <v>1248.8600000000033</v>
          </cell>
          <cell r="D585">
            <v>1748.4</v>
          </cell>
          <cell r="F585">
            <v>756.30999999999369</v>
          </cell>
          <cell r="G585">
            <v>1058.83</v>
          </cell>
        </row>
        <row r="586">
          <cell r="B586">
            <v>582</v>
          </cell>
          <cell r="C586">
            <v>1251.0100000000034</v>
          </cell>
          <cell r="D586">
            <v>1751.41</v>
          </cell>
          <cell r="F586">
            <v>757.60999999999365</v>
          </cell>
          <cell r="G586">
            <v>1060.6500000000001</v>
          </cell>
        </row>
        <row r="587">
          <cell r="B587">
            <v>583</v>
          </cell>
          <cell r="C587">
            <v>1253.1600000000035</v>
          </cell>
          <cell r="D587">
            <v>1754.42</v>
          </cell>
          <cell r="F587">
            <v>758.9099999999936</v>
          </cell>
          <cell r="G587">
            <v>1062.47</v>
          </cell>
        </row>
        <row r="588">
          <cell r="B588">
            <v>584</v>
          </cell>
          <cell r="C588">
            <v>1255.3100000000036</v>
          </cell>
          <cell r="D588">
            <v>1757.43</v>
          </cell>
          <cell r="F588">
            <v>760.20999999999356</v>
          </cell>
          <cell r="G588">
            <v>1064.29</v>
          </cell>
        </row>
        <row r="589">
          <cell r="B589">
            <v>585</v>
          </cell>
          <cell r="C589">
            <v>1257.4600000000037</v>
          </cell>
          <cell r="D589">
            <v>1760.44</v>
          </cell>
          <cell r="F589">
            <v>761.50999999999351</v>
          </cell>
          <cell r="G589">
            <v>1066.1099999999999</v>
          </cell>
        </row>
        <row r="590">
          <cell r="B590">
            <v>586</v>
          </cell>
          <cell r="C590">
            <v>1259.6100000000038</v>
          </cell>
          <cell r="D590">
            <v>1763.45</v>
          </cell>
          <cell r="F590">
            <v>762.80999999999347</v>
          </cell>
          <cell r="G590">
            <v>1067.93</v>
          </cell>
        </row>
        <row r="591">
          <cell r="B591">
            <v>587</v>
          </cell>
          <cell r="C591">
            <v>1261.7600000000039</v>
          </cell>
          <cell r="D591">
            <v>1766.46</v>
          </cell>
          <cell r="F591">
            <v>764.10999999999342</v>
          </cell>
          <cell r="G591">
            <v>1069.75</v>
          </cell>
        </row>
        <row r="592">
          <cell r="B592">
            <v>588</v>
          </cell>
          <cell r="C592">
            <v>1263.9100000000039</v>
          </cell>
          <cell r="D592">
            <v>1769.47</v>
          </cell>
          <cell r="F592">
            <v>765.40999999999337</v>
          </cell>
          <cell r="G592">
            <v>1071.57</v>
          </cell>
        </row>
        <row r="593">
          <cell r="B593">
            <v>589</v>
          </cell>
          <cell r="C593">
            <v>1266.060000000004</v>
          </cell>
          <cell r="D593">
            <v>1772.48</v>
          </cell>
          <cell r="F593">
            <v>766.70999999999333</v>
          </cell>
          <cell r="G593">
            <v>1073.3900000000001</v>
          </cell>
        </row>
        <row r="594">
          <cell r="B594">
            <v>590</v>
          </cell>
          <cell r="C594">
            <v>1268.2100000000041</v>
          </cell>
          <cell r="D594">
            <v>1775.49</v>
          </cell>
          <cell r="F594">
            <v>768.00999999999328</v>
          </cell>
          <cell r="G594">
            <v>1075.21</v>
          </cell>
        </row>
        <row r="595">
          <cell r="B595">
            <v>591</v>
          </cell>
          <cell r="C595">
            <v>1270.3600000000042</v>
          </cell>
          <cell r="D595">
            <v>1778.5</v>
          </cell>
          <cell r="F595">
            <v>769.30999999999324</v>
          </cell>
          <cell r="G595">
            <v>1077.03</v>
          </cell>
        </row>
        <row r="596">
          <cell r="B596">
            <v>592</v>
          </cell>
          <cell r="C596">
            <v>1272.5100000000043</v>
          </cell>
          <cell r="D596">
            <v>1781.51</v>
          </cell>
          <cell r="F596">
            <v>770.60999999999319</v>
          </cell>
          <cell r="G596">
            <v>1078.8499999999999</v>
          </cell>
        </row>
        <row r="597">
          <cell r="B597">
            <v>593</v>
          </cell>
          <cell r="C597">
            <v>1274.6600000000044</v>
          </cell>
          <cell r="D597">
            <v>1784.52</v>
          </cell>
          <cell r="F597">
            <v>771.90999999999315</v>
          </cell>
          <cell r="G597">
            <v>1080.67</v>
          </cell>
        </row>
        <row r="598">
          <cell r="B598">
            <v>594</v>
          </cell>
          <cell r="C598">
            <v>1276.8100000000045</v>
          </cell>
          <cell r="D598">
            <v>1787.53</v>
          </cell>
          <cell r="F598">
            <v>773.2099999999931</v>
          </cell>
          <cell r="G598">
            <v>1082.49</v>
          </cell>
        </row>
        <row r="599">
          <cell r="B599">
            <v>595</v>
          </cell>
          <cell r="C599">
            <v>1278.9600000000046</v>
          </cell>
          <cell r="D599">
            <v>1790.54</v>
          </cell>
          <cell r="F599">
            <v>774.50999999999306</v>
          </cell>
          <cell r="G599">
            <v>1084.31</v>
          </cell>
        </row>
        <row r="600">
          <cell r="B600">
            <v>596</v>
          </cell>
          <cell r="C600">
            <v>1281.1100000000047</v>
          </cell>
          <cell r="D600">
            <v>1793.55</v>
          </cell>
          <cell r="F600">
            <v>775.80999999999301</v>
          </cell>
          <cell r="G600">
            <v>1086.1300000000001</v>
          </cell>
        </row>
        <row r="601">
          <cell r="B601">
            <v>597</v>
          </cell>
          <cell r="C601">
            <v>1283.2600000000048</v>
          </cell>
          <cell r="D601">
            <v>1796.56</v>
          </cell>
          <cell r="F601">
            <v>777.10999999999297</v>
          </cell>
          <cell r="G601">
            <v>1087.95</v>
          </cell>
        </row>
        <row r="602">
          <cell r="B602">
            <v>598</v>
          </cell>
          <cell r="C602">
            <v>1285.4100000000049</v>
          </cell>
          <cell r="D602">
            <v>1799.57</v>
          </cell>
          <cell r="F602">
            <v>778.40999999999292</v>
          </cell>
          <cell r="G602">
            <v>1089.77</v>
          </cell>
        </row>
        <row r="603">
          <cell r="B603">
            <v>599</v>
          </cell>
          <cell r="C603">
            <v>1287.5600000000049</v>
          </cell>
          <cell r="D603">
            <v>1802.58</v>
          </cell>
          <cell r="F603">
            <v>779.70999999999287</v>
          </cell>
          <cell r="G603">
            <v>1091.5899999999999</v>
          </cell>
        </row>
        <row r="604">
          <cell r="B604">
            <v>600</v>
          </cell>
          <cell r="C604">
            <v>1289.710000000005</v>
          </cell>
          <cell r="D604">
            <v>1805.59</v>
          </cell>
          <cell r="F604">
            <v>781.00999999999283</v>
          </cell>
          <cell r="G604">
            <v>1093.4100000000001</v>
          </cell>
        </row>
        <row r="605">
          <cell r="B605">
            <v>601</v>
          </cell>
          <cell r="C605">
            <v>1291.8600000000051</v>
          </cell>
          <cell r="D605">
            <v>1808.6</v>
          </cell>
          <cell r="F605">
            <v>782.30999999999278</v>
          </cell>
          <cell r="G605">
            <v>1095.23</v>
          </cell>
        </row>
        <row r="606">
          <cell r="B606">
            <v>602</v>
          </cell>
          <cell r="C606">
            <v>1294.0100000000052</v>
          </cell>
          <cell r="D606">
            <v>1811.61</v>
          </cell>
          <cell r="F606">
            <v>783.60999999999274</v>
          </cell>
          <cell r="G606">
            <v>1097.05</v>
          </cell>
        </row>
        <row r="607">
          <cell r="B607">
            <v>603</v>
          </cell>
          <cell r="C607">
            <v>1296.1600000000053</v>
          </cell>
          <cell r="D607">
            <v>1814.62</v>
          </cell>
          <cell r="F607">
            <v>784.90999999999269</v>
          </cell>
          <cell r="G607">
            <v>1098.8699999999999</v>
          </cell>
        </row>
        <row r="608">
          <cell r="B608">
            <v>604</v>
          </cell>
          <cell r="C608">
            <v>1298.3100000000054</v>
          </cell>
          <cell r="D608">
            <v>1817.63</v>
          </cell>
          <cell r="F608">
            <v>786.20999999999265</v>
          </cell>
          <cell r="G608">
            <v>1100.69</v>
          </cell>
        </row>
        <row r="609">
          <cell r="B609">
            <v>605</v>
          </cell>
          <cell r="C609">
            <v>1300.4600000000055</v>
          </cell>
          <cell r="D609">
            <v>1820.64</v>
          </cell>
          <cell r="F609">
            <v>787.5099999999926</v>
          </cell>
          <cell r="G609">
            <v>1102.51</v>
          </cell>
        </row>
        <row r="610">
          <cell r="B610">
            <v>606</v>
          </cell>
          <cell r="C610">
            <v>1302.6100000000056</v>
          </cell>
          <cell r="D610">
            <v>1823.65</v>
          </cell>
          <cell r="F610">
            <v>788.80999999999256</v>
          </cell>
          <cell r="G610">
            <v>1104.33</v>
          </cell>
        </row>
        <row r="611">
          <cell r="B611">
            <v>607</v>
          </cell>
          <cell r="C611">
            <v>1304.7600000000057</v>
          </cell>
          <cell r="D611">
            <v>1826.66</v>
          </cell>
          <cell r="F611">
            <v>790.10999999999251</v>
          </cell>
          <cell r="G611">
            <v>1106.1500000000001</v>
          </cell>
        </row>
        <row r="612">
          <cell r="B612">
            <v>608</v>
          </cell>
          <cell r="C612">
            <v>1306.9100000000058</v>
          </cell>
          <cell r="D612">
            <v>1829.67</v>
          </cell>
          <cell r="F612">
            <v>791.40999999999246</v>
          </cell>
          <cell r="G612">
            <v>1107.97</v>
          </cell>
        </row>
        <row r="613">
          <cell r="B613">
            <v>609</v>
          </cell>
          <cell r="C613">
            <v>1309.0600000000059</v>
          </cell>
          <cell r="D613">
            <v>1832.68</v>
          </cell>
          <cell r="F613">
            <v>792.70999999999242</v>
          </cell>
          <cell r="G613">
            <v>1109.79</v>
          </cell>
        </row>
        <row r="614">
          <cell r="B614">
            <v>610</v>
          </cell>
          <cell r="C614">
            <v>1311.2100000000059</v>
          </cell>
          <cell r="D614">
            <v>1835.69</v>
          </cell>
          <cell r="F614">
            <v>794.00999999999237</v>
          </cell>
          <cell r="G614">
            <v>1111.6099999999999</v>
          </cell>
        </row>
        <row r="615">
          <cell r="B615">
            <v>611</v>
          </cell>
          <cell r="C615">
            <v>1313.360000000006</v>
          </cell>
          <cell r="D615">
            <v>1838.7</v>
          </cell>
          <cell r="F615">
            <v>795.30999999999233</v>
          </cell>
          <cell r="G615">
            <v>1113.43</v>
          </cell>
        </row>
        <row r="616">
          <cell r="B616">
            <v>612</v>
          </cell>
          <cell r="C616">
            <v>1315.5100000000061</v>
          </cell>
          <cell r="D616">
            <v>1841.71</v>
          </cell>
          <cell r="F616">
            <v>796.60999999999228</v>
          </cell>
          <cell r="G616">
            <v>1115.25</v>
          </cell>
        </row>
        <row r="617">
          <cell r="B617">
            <v>613</v>
          </cell>
          <cell r="C617">
            <v>1317.6600000000062</v>
          </cell>
          <cell r="D617">
            <v>1844.72</v>
          </cell>
          <cell r="F617">
            <v>797.90999999999224</v>
          </cell>
          <cell r="G617">
            <v>1117.07</v>
          </cell>
        </row>
        <row r="618">
          <cell r="B618">
            <v>614</v>
          </cell>
          <cell r="C618">
            <v>1319.8100000000063</v>
          </cell>
          <cell r="D618">
            <v>1847.73</v>
          </cell>
          <cell r="F618">
            <v>799.20999999999219</v>
          </cell>
          <cell r="G618">
            <v>1118.8900000000001</v>
          </cell>
        </row>
        <row r="619">
          <cell r="B619">
            <v>615</v>
          </cell>
          <cell r="C619">
            <v>1321.9600000000064</v>
          </cell>
          <cell r="D619">
            <v>1850.74</v>
          </cell>
          <cell r="F619">
            <v>800.50999999999215</v>
          </cell>
          <cell r="G619">
            <v>1120.71</v>
          </cell>
        </row>
        <row r="620">
          <cell r="B620">
            <v>616</v>
          </cell>
          <cell r="C620">
            <v>1324.1100000000065</v>
          </cell>
          <cell r="D620">
            <v>1853.75</v>
          </cell>
          <cell r="F620">
            <v>801.8099999999921</v>
          </cell>
          <cell r="G620">
            <v>1122.53</v>
          </cell>
        </row>
        <row r="621">
          <cell r="B621">
            <v>617</v>
          </cell>
          <cell r="C621">
            <v>1326.2600000000066</v>
          </cell>
          <cell r="D621">
            <v>1856.76</v>
          </cell>
          <cell r="F621">
            <v>803.10999999999206</v>
          </cell>
          <cell r="G621">
            <v>1124.3499999999999</v>
          </cell>
        </row>
        <row r="622">
          <cell r="B622">
            <v>618</v>
          </cell>
          <cell r="C622">
            <v>1328.4100000000067</v>
          </cell>
          <cell r="D622">
            <v>1859.77</v>
          </cell>
          <cell r="F622">
            <v>804.40999999999201</v>
          </cell>
          <cell r="G622">
            <v>1126.17</v>
          </cell>
        </row>
        <row r="623">
          <cell r="B623">
            <v>619</v>
          </cell>
          <cell r="C623">
            <v>1330.5600000000068</v>
          </cell>
          <cell r="D623">
            <v>1862.78</v>
          </cell>
          <cell r="F623">
            <v>805.70999999999196</v>
          </cell>
          <cell r="G623">
            <v>1127.99</v>
          </cell>
        </row>
        <row r="624">
          <cell r="B624">
            <v>620</v>
          </cell>
          <cell r="C624">
            <v>1332.7100000000069</v>
          </cell>
          <cell r="D624">
            <v>1865.79</v>
          </cell>
          <cell r="F624">
            <v>807.00999999999192</v>
          </cell>
          <cell r="G624">
            <v>1129.81</v>
          </cell>
        </row>
        <row r="625">
          <cell r="B625">
            <v>621</v>
          </cell>
          <cell r="C625">
            <v>1334.8600000000069</v>
          </cell>
          <cell r="D625">
            <v>1868.8</v>
          </cell>
          <cell r="F625">
            <v>808.30999999999187</v>
          </cell>
          <cell r="G625">
            <v>1131.6300000000001</v>
          </cell>
        </row>
        <row r="626">
          <cell r="B626">
            <v>622</v>
          </cell>
          <cell r="C626">
            <v>1337.010000000007</v>
          </cell>
          <cell r="D626">
            <v>1871.81</v>
          </cell>
          <cell r="F626">
            <v>809.60999999999183</v>
          </cell>
          <cell r="G626">
            <v>1133.45</v>
          </cell>
        </row>
        <row r="627">
          <cell r="B627">
            <v>623</v>
          </cell>
          <cell r="C627">
            <v>1339.1600000000071</v>
          </cell>
          <cell r="D627">
            <v>1874.82</v>
          </cell>
          <cell r="F627">
            <v>810.90999999999178</v>
          </cell>
          <cell r="G627">
            <v>1135.27</v>
          </cell>
        </row>
        <row r="628">
          <cell r="B628">
            <v>624</v>
          </cell>
          <cell r="C628">
            <v>1341.3100000000072</v>
          </cell>
          <cell r="D628">
            <v>1877.83</v>
          </cell>
          <cell r="F628">
            <v>812.20999999999174</v>
          </cell>
          <cell r="G628">
            <v>1137.0899999999999</v>
          </cell>
        </row>
        <row r="629">
          <cell r="B629">
            <v>625</v>
          </cell>
          <cell r="C629">
            <v>1343.4600000000073</v>
          </cell>
          <cell r="D629">
            <v>1880.84</v>
          </cell>
          <cell r="F629">
            <v>813.50999999999169</v>
          </cell>
          <cell r="G629">
            <v>1138.9100000000001</v>
          </cell>
        </row>
        <row r="630">
          <cell r="B630">
            <v>626</v>
          </cell>
          <cell r="C630">
            <v>1345.6100000000074</v>
          </cell>
          <cell r="D630">
            <v>1883.85</v>
          </cell>
          <cell r="F630">
            <v>814.80999999999165</v>
          </cell>
          <cell r="G630">
            <v>1140.73</v>
          </cell>
        </row>
        <row r="631">
          <cell r="B631">
            <v>627</v>
          </cell>
          <cell r="C631">
            <v>1347.7600000000075</v>
          </cell>
          <cell r="D631">
            <v>1886.86</v>
          </cell>
          <cell r="F631">
            <v>816.1099999999916</v>
          </cell>
          <cell r="G631">
            <v>1142.55</v>
          </cell>
        </row>
        <row r="632">
          <cell r="B632">
            <v>628</v>
          </cell>
          <cell r="C632">
            <v>1349.9100000000076</v>
          </cell>
          <cell r="D632">
            <v>1889.87</v>
          </cell>
          <cell r="F632">
            <v>817.40999999999156</v>
          </cell>
          <cell r="G632">
            <v>1144.3699999999999</v>
          </cell>
        </row>
        <row r="633">
          <cell r="B633">
            <v>629</v>
          </cell>
          <cell r="C633">
            <v>1352.0600000000077</v>
          </cell>
          <cell r="D633">
            <v>1892.88</v>
          </cell>
          <cell r="F633">
            <v>818.70999999999151</v>
          </cell>
          <cell r="G633">
            <v>1146.19</v>
          </cell>
        </row>
        <row r="634">
          <cell r="B634">
            <v>630</v>
          </cell>
          <cell r="C634">
            <v>1354.2100000000078</v>
          </cell>
          <cell r="D634">
            <v>1895.89</v>
          </cell>
          <cell r="F634">
            <v>820.00999999999146</v>
          </cell>
          <cell r="G634">
            <v>1148.01</v>
          </cell>
        </row>
        <row r="635">
          <cell r="B635">
            <v>631</v>
          </cell>
          <cell r="C635">
            <v>1356.3600000000079</v>
          </cell>
          <cell r="D635">
            <v>1898.9</v>
          </cell>
          <cell r="F635">
            <v>821.30999999999142</v>
          </cell>
          <cell r="G635">
            <v>1149.83</v>
          </cell>
        </row>
        <row r="636">
          <cell r="B636">
            <v>632</v>
          </cell>
          <cell r="C636">
            <v>1358.5100000000079</v>
          </cell>
          <cell r="D636">
            <v>1901.91</v>
          </cell>
          <cell r="F636">
            <v>822.60999999999137</v>
          </cell>
          <cell r="G636">
            <v>1151.6500000000001</v>
          </cell>
        </row>
        <row r="637">
          <cell r="B637">
            <v>633</v>
          </cell>
          <cell r="C637">
            <v>1360.660000000008</v>
          </cell>
          <cell r="D637">
            <v>1904.92</v>
          </cell>
          <cell r="F637">
            <v>823.90999999999133</v>
          </cell>
          <cell r="G637">
            <v>1153.47</v>
          </cell>
        </row>
        <row r="638">
          <cell r="B638">
            <v>634</v>
          </cell>
          <cell r="C638">
            <v>1362.8100000000081</v>
          </cell>
          <cell r="D638">
            <v>1907.93</v>
          </cell>
          <cell r="F638">
            <v>825.20999999999128</v>
          </cell>
          <cell r="G638">
            <v>1155.29</v>
          </cell>
        </row>
        <row r="639">
          <cell r="B639">
            <v>635</v>
          </cell>
          <cell r="C639">
            <v>1364.9600000000082</v>
          </cell>
          <cell r="D639">
            <v>1910.94</v>
          </cell>
          <cell r="F639">
            <v>826.50999999999124</v>
          </cell>
          <cell r="G639">
            <v>1157.1099999999999</v>
          </cell>
        </row>
        <row r="640">
          <cell r="B640">
            <v>636</v>
          </cell>
          <cell r="C640">
            <v>1367.1100000000083</v>
          </cell>
          <cell r="D640">
            <v>1913.95</v>
          </cell>
          <cell r="F640">
            <v>827.80999999999119</v>
          </cell>
          <cell r="G640">
            <v>1158.93</v>
          </cell>
        </row>
        <row r="641">
          <cell r="B641">
            <v>637</v>
          </cell>
          <cell r="C641">
            <v>1369.2600000000084</v>
          </cell>
          <cell r="D641">
            <v>1916.96</v>
          </cell>
          <cell r="F641">
            <v>829.10999999999115</v>
          </cell>
          <cell r="G641">
            <v>1160.75</v>
          </cell>
        </row>
        <row r="642">
          <cell r="B642">
            <v>638</v>
          </cell>
          <cell r="C642">
            <v>1371.4100000000085</v>
          </cell>
          <cell r="D642">
            <v>1919.97</v>
          </cell>
          <cell r="F642">
            <v>830.4099999999911</v>
          </cell>
          <cell r="G642">
            <v>1162.57</v>
          </cell>
        </row>
        <row r="643">
          <cell r="B643">
            <v>639</v>
          </cell>
          <cell r="C643">
            <v>1373.5600000000086</v>
          </cell>
          <cell r="D643">
            <v>1922.98</v>
          </cell>
          <cell r="F643">
            <v>831.70999999999106</v>
          </cell>
          <cell r="G643">
            <v>1164.3900000000001</v>
          </cell>
        </row>
        <row r="644">
          <cell r="B644">
            <v>640</v>
          </cell>
          <cell r="C644">
            <v>1375.7100000000087</v>
          </cell>
          <cell r="D644">
            <v>1925.99</v>
          </cell>
          <cell r="F644">
            <v>833.00999999999101</v>
          </cell>
          <cell r="G644">
            <v>1166.21</v>
          </cell>
        </row>
        <row r="645">
          <cell r="B645">
            <v>641</v>
          </cell>
          <cell r="C645">
            <v>1377.8600000000088</v>
          </cell>
          <cell r="D645">
            <v>1929</v>
          </cell>
          <cell r="F645">
            <v>834.30999999999096</v>
          </cell>
          <cell r="G645">
            <v>1168.03</v>
          </cell>
        </row>
        <row r="646">
          <cell r="B646">
            <v>642</v>
          </cell>
          <cell r="C646">
            <v>1380.0100000000089</v>
          </cell>
          <cell r="D646">
            <v>1932.01</v>
          </cell>
          <cell r="F646">
            <v>835.60999999999092</v>
          </cell>
          <cell r="G646">
            <v>1169.8499999999999</v>
          </cell>
        </row>
        <row r="647">
          <cell r="B647">
            <v>643</v>
          </cell>
          <cell r="C647">
            <v>1382.1600000000089</v>
          </cell>
          <cell r="D647">
            <v>1935.02</v>
          </cell>
          <cell r="F647">
            <v>836.90999999999087</v>
          </cell>
          <cell r="G647">
            <v>1171.67</v>
          </cell>
        </row>
        <row r="648">
          <cell r="B648">
            <v>644</v>
          </cell>
          <cell r="C648">
            <v>1384.310000000009</v>
          </cell>
          <cell r="D648">
            <v>1938.03</v>
          </cell>
          <cell r="F648">
            <v>838.20999999999083</v>
          </cell>
          <cell r="G648">
            <v>1173.49</v>
          </cell>
        </row>
        <row r="649">
          <cell r="B649">
            <v>645</v>
          </cell>
          <cell r="C649">
            <v>1386.4600000000091</v>
          </cell>
          <cell r="D649">
            <v>1941.04</v>
          </cell>
          <cell r="F649">
            <v>839.50999999999078</v>
          </cell>
          <cell r="G649">
            <v>1175.31</v>
          </cell>
        </row>
        <row r="650">
          <cell r="B650">
            <v>646</v>
          </cell>
          <cell r="C650">
            <v>1388.6100000000092</v>
          </cell>
          <cell r="D650">
            <v>1944.05</v>
          </cell>
          <cell r="F650">
            <v>840.80999999999074</v>
          </cell>
          <cell r="G650">
            <v>1177.1300000000001</v>
          </cell>
        </row>
        <row r="651">
          <cell r="B651">
            <v>647</v>
          </cell>
          <cell r="C651">
            <v>1390.7600000000093</v>
          </cell>
          <cell r="D651">
            <v>1947.06</v>
          </cell>
          <cell r="F651">
            <v>842.10999999999069</v>
          </cell>
          <cell r="G651">
            <v>1178.95</v>
          </cell>
        </row>
        <row r="652">
          <cell r="B652">
            <v>648</v>
          </cell>
          <cell r="C652">
            <v>1392.9100000000094</v>
          </cell>
          <cell r="D652">
            <v>1950.07</v>
          </cell>
          <cell r="F652">
            <v>843.40999999999065</v>
          </cell>
          <cell r="G652">
            <v>1180.77</v>
          </cell>
        </row>
        <row r="653">
          <cell r="B653">
            <v>649</v>
          </cell>
          <cell r="C653">
            <v>1395.0600000000095</v>
          </cell>
          <cell r="D653">
            <v>1953.08</v>
          </cell>
          <cell r="F653">
            <v>844.7099999999906</v>
          </cell>
          <cell r="G653">
            <v>1182.5899999999999</v>
          </cell>
        </row>
        <row r="654">
          <cell r="B654">
            <v>650</v>
          </cell>
          <cell r="C654">
            <v>1397.2100000000096</v>
          </cell>
          <cell r="D654">
            <v>1956.09</v>
          </cell>
          <cell r="F654">
            <v>846.00999999999055</v>
          </cell>
          <cell r="G654">
            <v>1184.4100000000001</v>
          </cell>
        </row>
        <row r="655">
          <cell r="B655">
            <v>651</v>
          </cell>
          <cell r="C655">
            <v>1399.3600000000097</v>
          </cell>
          <cell r="D655">
            <v>1959.1</v>
          </cell>
          <cell r="F655">
            <v>847.30999999999051</v>
          </cell>
          <cell r="G655">
            <v>1186.23</v>
          </cell>
        </row>
        <row r="656">
          <cell r="B656">
            <v>652</v>
          </cell>
          <cell r="C656">
            <v>1401.5100000000098</v>
          </cell>
          <cell r="D656">
            <v>1962.11</v>
          </cell>
          <cell r="F656">
            <v>848.60999999999046</v>
          </cell>
          <cell r="G656">
            <v>1188.05</v>
          </cell>
        </row>
        <row r="657">
          <cell r="B657">
            <v>653</v>
          </cell>
          <cell r="C657">
            <v>1403.6600000000099</v>
          </cell>
          <cell r="D657">
            <v>1965.12</v>
          </cell>
          <cell r="F657">
            <v>849.90999999999042</v>
          </cell>
          <cell r="G657">
            <v>1189.8699999999999</v>
          </cell>
        </row>
        <row r="658">
          <cell r="B658">
            <v>654</v>
          </cell>
          <cell r="C658">
            <v>1405.8100000000099</v>
          </cell>
          <cell r="D658">
            <v>1968.13</v>
          </cell>
          <cell r="F658">
            <v>851.20999999999037</v>
          </cell>
          <cell r="G658">
            <v>1191.69</v>
          </cell>
        </row>
        <row r="659">
          <cell r="B659">
            <v>655</v>
          </cell>
          <cell r="C659">
            <v>1407.96000000001</v>
          </cell>
          <cell r="D659">
            <v>1971.14</v>
          </cell>
          <cell r="F659">
            <v>852.50999999999033</v>
          </cell>
          <cell r="G659">
            <v>1193.51</v>
          </cell>
        </row>
        <row r="660">
          <cell r="B660">
            <v>656</v>
          </cell>
          <cell r="C660">
            <v>1410.1100000000101</v>
          </cell>
          <cell r="D660">
            <v>1974.15</v>
          </cell>
          <cell r="F660">
            <v>853.80999999999028</v>
          </cell>
          <cell r="G660">
            <v>1195.33</v>
          </cell>
        </row>
        <row r="661">
          <cell r="B661">
            <v>657</v>
          </cell>
          <cell r="C661">
            <v>1412.2600000000102</v>
          </cell>
          <cell r="D661">
            <v>1977.16</v>
          </cell>
          <cell r="F661">
            <v>855.10999999999024</v>
          </cell>
          <cell r="G661">
            <v>1197.1500000000001</v>
          </cell>
        </row>
        <row r="662">
          <cell r="B662">
            <v>658</v>
          </cell>
          <cell r="C662">
            <v>1414.4100000000103</v>
          </cell>
          <cell r="D662">
            <v>1980.17</v>
          </cell>
          <cell r="F662">
            <v>856.40999999999019</v>
          </cell>
          <cell r="G662">
            <v>1198.97</v>
          </cell>
        </row>
        <row r="663">
          <cell r="B663">
            <v>659</v>
          </cell>
          <cell r="C663">
            <v>1416.5600000000104</v>
          </cell>
          <cell r="D663">
            <v>1983.18</v>
          </cell>
          <cell r="F663">
            <v>857.70999999999015</v>
          </cell>
          <cell r="G663">
            <v>1200.79</v>
          </cell>
        </row>
        <row r="664">
          <cell r="B664">
            <v>660</v>
          </cell>
          <cell r="C664">
            <v>1418.7100000000105</v>
          </cell>
          <cell r="D664">
            <v>1986.19</v>
          </cell>
          <cell r="F664">
            <v>859.0099999999901</v>
          </cell>
          <cell r="G664">
            <v>1202.6099999999999</v>
          </cell>
        </row>
        <row r="665">
          <cell r="B665">
            <v>661</v>
          </cell>
          <cell r="C665">
            <v>1420.8600000000106</v>
          </cell>
          <cell r="D665">
            <v>1989.2</v>
          </cell>
          <cell r="F665">
            <v>860.30999999999005</v>
          </cell>
          <cell r="G665">
            <v>1204.43</v>
          </cell>
        </row>
        <row r="666">
          <cell r="B666">
            <v>662</v>
          </cell>
          <cell r="C666">
            <v>1423.0100000000107</v>
          </cell>
          <cell r="D666">
            <v>1992.21</v>
          </cell>
          <cell r="F666">
            <v>861.60999999999001</v>
          </cell>
          <cell r="G666">
            <v>1206.25</v>
          </cell>
        </row>
        <row r="667">
          <cell r="B667">
            <v>663</v>
          </cell>
          <cell r="C667">
            <v>1425.1600000000108</v>
          </cell>
          <cell r="D667">
            <v>1995.22</v>
          </cell>
          <cell r="F667">
            <v>862.90999999998996</v>
          </cell>
          <cell r="G667">
            <v>1208.07</v>
          </cell>
        </row>
        <row r="668">
          <cell r="B668">
            <v>664</v>
          </cell>
          <cell r="C668">
            <v>1427.3100000000109</v>
          </cell>
          <cell r="D668">
            <v>1998.23</v>
          </cell>
          <cell r="F668">
            <v>864.20999999998992</v>
          </cell>
          <cell r="G668">
            <v>1209.8900000000001</v>
          </cell>
        </row>
        <row r="669">
          <cell r="B669">
            <v>665</v>
          </cell>
          <cell r="C669">
            <v>1429.460000000011</v>
          </cell>
          <cell r="D669">
            <v>2001.24</v>
          </cell>
          <cell r="F669">
            <v>865.50999999998987</v>
          </cell>
          <cell r="G669">
            <v>1211.71</v>
          </cell>
        </row>
        <row r="670">
          <cell r="B670">
            <v>666</v>
          </cell>
          <cell r="C670">
            <v>1431.610000000011</v>
          </cell>
          <cell r="D670">
            <v>2004.25</v>
          </cell>
          <cell r="F670">
            <v>866.80999999998983</v>
          </cell>
          <cell r="G670">
            <v>1213.53</v>
          </cell>
        </row>
        <row r="671">
          <cell r="B671">
            <v>667</v>
          </cell>
          <cell r="C671">
            <v>1433.7600000000111</v>
          </cell>
          <cell r="D671">
            <v>2007.26</v>
          </cell>
          <cell r="F671">
            <v>868.10999999998978</v>
          </cell>
          <cell r="G671">
            <v>1215.3499999999999</v>
          </cell>
        </row>
        <row r="672">
          <cell r="B672">
            <v>668</v>
          </cell>
          <cell r="C672">
            <v>1435.9100000000112</v>
          </cell>
          <cell r="D672">
            <v>2010.27</v>
          </cell>
          <cell r="F672">
            <v>869.40999999998974</v>
          </cell>
          <cell r="G672">
            <v>1217.17</v>
          </cell>
        </row>
        <row r="673">
          <cell r="B673">
            <v>669</v>
          </cell>
          <cell r="C673">
            <v>1438.0600000000113</v>
          </cell>
          <cell r="D673">
            <v>2013.28</v>
          </cell>
          <cell r="F673">
            <v>870.70999999998969</v>
          </cell>
          <cell r="G673">
            <v>1218.99</v>
          </cell>
        </row>
        <row r="674">
          <cell r="B674">
            <v>670</v>
          </cell>
          <cell r="C674">
            <v>1440.2100000000114</v>
          </cell>
          <cell r="D674">
            <v>2016.29</v>
          </cell>
          <cell r="F674">
            <v>872.00999999998965</v>
          </cell>
          <cell r="G674">
            <v>1220.81</v>
          </cell>
        </row>
        <row r="675">
          <cell r="B675">
            <v>671</v>
          </cell>
          <cell r="C675">
            <v>1442.3600000000115</v>
          </cell>
          <cell r="D675">
            <v>2019.3</v>
          </cell>
          <cell r="F675">
            <v>873.3099999999896</v>
          </cell>
          <cell r="G675">
            <v>1222.6300000000001</v>
          </cell>
        </row>
        <row r="676">
          <cell r="B676">
            <v>672</v>
          </cell>
          <cell r="C676">
            <v>1444.5100000000116</v>
          </cell>
          <cell r="D676">
            <v>2022.31</v>
          </cell>
          <cell r="F676">
            <v>874.60999999998955</v>
          </cell>
          <cell r="G676">
            <v>1224.45</v>
          </cell>
        </row>
        <row r="677">
          <cell r="B677">
            <v>673</v>
          </cell>
          <cell r="C677">
            <v>1446.6600000000117</v>
          </cell>
          <cell r="D677">
            <v>2025.32</v>
          </cell>
          <cell r="F677">
            <v>875.90999999998951</v>
          </cell>
          <cell r="G677">
            <v>1226.27</v>
          </cell>
        </row>
        <row r="678">
          <cell r="B678">
            <v>674</v>
          </cell>
          <cell r="C678">
            <v>1448.8100000000118</v>
          </cell>
          <cell r="D678">
            <v>2028.33</v>
          </cell>
          <cell r="F678">
            <v>877.20999999998946</v>
          </cell>
          <cell r="G678">
            <v>1228.0899999999999</v>
          </cell>
        </row>
        <row r="679">
          <cell r="B679">
            <v>675</v>
          </cell>
          <cell r="C679">
            <v>1450.9600000000119</v>
          </cell>
          <cell r="D679">
            <v>2031.34</v>
          </cell>
          <cell r="F679">
            <v>878.50999999998942</v>
          </cell>
          <cell r="G679">
            <v>1229.9100000000001</v>
          </cell>
        </row>
        <row r="680">
          <cell r="B680">
            <v>676</v>
          </cell>
          <cell r="C680">
            <v>1453.110000000012</v>
          </cell>
          <cell r="D680">
            <v>2034.35</v>
          </cell>
          <cell r="F680">
            <v>879.80999999998937</v>
          </cell>
          <cell r="G680">
            <v>1231.73</v>
          </cell>
        </row>
        <row r="681">
          <cell r="B681">
            <v>677</v>
          </cell>
          <cell r="C681">
            <v>1455.260000000012</v>
          </cell>
          <cell r="D681">
            <v>2037.36</v>
          </cell>
          <cell r="F681">
            <v>881.10999999998933</v>
          </cell>
          <cell r="G681">
            <v>1233.55</v>
          </cell>
        </row>
        <row r="682">
          <cell r="B682">
            <v>678</v>
          </cell>
          <cell r="C682">
            <v>1457.4100000000121</v>
          </cell>
          <cell r="D682">
            <v>2040.37</v>
          </cell>
          <cell r="F682">
            <v>882.40999999998928</v>
          </cell>
          <cell r="G682">
            <v>1235.3699999999999</v>
          </cell>
        </row>
        <row r="683">
          <cell r="B683">
            <v>679</v>
          </cell>
          <cell r="C683">
            <v>1459.5600000000122</v>
          </cell>
          <cell r="D683">
            <v>2043.38</v>
          </cell>
          <cell r="F683">
            <v>883.70999999998924</v>
          </cell>
          <cell r="G683">
            <v>1237.19</v>
          </cell>
        </row>
        <row r="684">
          <cell r="B684">
            <v>680</v>
          </cell>
          <cell r="C684">
            <v>1461.7100000000123</v>
          </cell>
          <cell r="D684">
            <v>2046.39</v>
          </cell>
          <cell r="F684">
            <v>885.00999999998919</v>
          </cell>
          <cell r="G684">
            <v>1239.01</v>
          </cell>
        </row>
        <row r="685">
          <cell r="B685">
            <v>681</v>
          </cell>
          <cell r="C685">
            <v>1463.8600000000124</v>
          </cell>
          <cell r="D685">
            <v>2049.4</v>
          </cell>
          <cell r="F685">
            <v>886.30999999998915</v>
          </cell>
          <cell r="G685">
            <v>1240.83</v>
          </cell>
        </row>
        <row r="686">
          <cell r="B686">
            <v>682</v>
          </cell>
          <cell r="C686">
            <v>1466.0100000000125</v>
          </cell>
          <cell r="D686">
            <v>2052.41</v>
          </cell>
          <cell r="F686">
            <v>887.6099999999891</v>
          </cell>
          <cell r="G686">
            <v>1242.6500000000001</v>
          </cell>
        </row>
        <row r="687">
          <cell r="B687">
            <v>683</v>
          </cell>
          <cell r="C687">
            <v>1468.1600000000126</v>
          </cell>
          <cell r="D687">
            <v>2055.42</v>
          </cell>
          <cell r="F687">
            <v>888.90999999998905</v>
          </cell>
          <cell r="G687">
            <v>1244.47</v>
          </cell>
        </row>
        <row r="688">
          <cell r="B688">
            <v>684</v>
          </cell>
          <cell r="C688">
            <v>1470.3100000000127</v>
          </cell>
          <cell r="D688">
            <v>2058.4299999999998</v>
          </cell>
          <cell r="F688">
            <v>890.20999999998901</v>
          </cell>
          <cell r="G688">
            <v>1246.29</v>
          </cell>
        </row>
        <row r="689">
          <cell r="B689">
            <v>685</v>
          </cell>
          <cell r="C689">
            <v>1472.4600000000128</v>
          </cell>
          <cell r="D689">
            <v>2061.44</v>
          </cell>
          <cell r="F689">
            <v>891.50999999998896</v>
          </cell>
          <cell r="G689">
            <v>1248.1099999999999</v>
          </cell>
        </row>
        <row r="690">
          <cell r="B690">
            <v>686</v>
          </cell>
          <cell r="C690">
            <v>1474.6100000000129</v>
          </cell>
          <cell r="D690">
            <v>2064.4499999999998</v>
          </cell>
          <cell r="F690">
            <v>892.80999999998892</v>
          </cell>
          <cell r="G690">
            <v>1249.93</v>
          </cell>
        </row>
        <row r="691">
          <cell r="B691">
            <v>687</v>
          </cell>
          <cell r="C691">
            <v>1476.760000000013</v>
          </cell>
          <cell r="D691">
            <v>2067.46</v>
          </cell>
          <cell r="F691">
            <v>894.10999999998887</v>
          </cell>
          <cell r="G691">
            <v>1251.75</v>
          </cell>
        </row>
        <row r="692">
          <cell r="B692">
            <v>688</v>
          </cell>
          <cell r="C692">
            <v>1478.910000000013</v>
          </cell>
          <cell r="D692">
            <v>2070.4699999999998</v>
          </cell>
          <cell r="F692">
            <v>895.40999999998883</v>
          </cell>
          <cell r="G692">
            <v>1253.57</v>
          </cell>
        </row>
        <row r="693">
          <cell r="B693">
            <v>689</v>
          </cell>
          <cell r="C693">
            <v>1481.0600000000131</v>
          </cell>
          <cell r="D693">
            <v>2073.48</v>
          </cell>
          <cell r="F693">
            <v>896.70999999998878</v>
          </cell>
          <cell r="G693">
            <v>1255.3900000000001</v>
          </cell>
        </row>
        <row r="694">
          <cell r="B694">
            <v>690</v>
          </cell>
          <cell r="C694">
            <v>1483.2100000000132</v>
          </cell>
          <cell r="D694">
            <v>2076.4899999999998</v>
          </cell>
          <cell r="F694">
            <v>898.00999999998874</v>
          </cell>
          <cell r="G694">
            <v>1257.21</v>
          </cell>
        </row>
        <row r="695">
          <cell r="B695">
            <v>691</v>
          </cell>
          <cell r="C695">
            <v>1485.3600000000133</v>
          </cell>
          <cell r="D695">
            <v>2079.5</v>
          </cell>
          <cell r="F695">
            <v>899.30999999998869</v>
          </cell>
          <cell r="G695">
            <v>1259.03</v>
          </cell>
        </row>
        <row r="696">
          <cell r="B696">
            <v>692</v>
          </cell>
          <cell r="C696">
            <v>1487.5100000000134</v>
          </cell>
          <cell r="D696">
            <v>2082.5100000000002</v>
          </cell>
          <cell r="F696">
            <v>900.60999999998864</v>
          </cell>
          <cell r="G696">
            <v>1260.8499999999999</v>
          </cell>
        </row>
        <row r="697">
          <cell r="B697">
            <v>693</v>
          </cell>
          <cell r="C697">
            <v>1489.6600000000135</v>
          </cell>
          <cell r="D697">
            <v>2085.52</v>
          </cell>
          <cell r="F697">
            <v>901.9099999999886</v>
          </cell>
          <cell r="G697">
            <v>1262.67</v>
          </cell>
        </row>
        <row r="698">
          <cell r="B698">
            <v>694</v>
          </cell>
          <cell r="C698">
            <v>1491.8100000000136</v>
          </cell>
          <cell r="D698">
            <v>2088.5300000000002</v>
          </cell>
          <cell r="F698">
            <v>903.20999999998855</v>
          </cell>
          <cell r="G698">
            <v>1264.49</v>
          </cell>
        </row>
        <row r="699">
          <cell r="B699">
            <v>695</v>
          </cell>
          <cell r="C699">
            <v>1493.9600000000137</v>
          </cell>
          <cell r="D699">
            <v>2091.54</v>
          </cell>
          <cell r="F699">
            <v>904.50999999998851</v>
          </cell>
          <cell r="G699">
            <v>1266.31</v>
          </cell>
        </row>
        <row r="700">
          <cell r="B700">
            <v>696</v>
          </cell>
          <cell r="C700">
            <v>1496.1100000000138</v>
          </cell>
          <cell r="D700">
            <v>2094.5500000000002</v>
          </cell>
          <cell r="F700">
            <v>905.80999999998846</v>
          </cell>
          <cell r="G700">
            <v>1268.1300000000001</v>
          </cell>
        </row>
        <row r="701">
          <cell r="B701">
            <v>697</v>
          </cell>
          <cell r="C701">
            <v>1498.2600000000139</v>
          </cell>
          <cell r="D701">
            <v>2097.56</v>
          </cell>
          <cell r="F701">
            <v>907.10999999998842</v>
          </cell>
          <cell r="G701">
            <v>1269.95</v>
          </cell>
        </row>
        <row r="702">
          <cell r="B702">
            <v>698</v>
          </cell>
          <cell r="C702">
            <v>1500.410000000014</v>
          </cell>
          <cell r="D702">
            <v>2100.5700000000002</v>
          </cell>
          <cell r="F702">
            <v>908.40999999998837</v>
          </cell>
          <cell r="G702">
            <v>1271.77</v>
          </cell>
        </row>
        <row r="703">
          <cell r="B703">
            <v>699</v>
          </cell>
          <cell r="C703">
            <v>1502.560000000014</v>
          </cell>
          <cell r="D703">
            <v>2103.58</v>
          </cell>
          <cell r="F703">
            <v>909.70999999998833</v>
          </cell>
          <cell r="G703">
            <v>1273.5899999999999</v>
          </cell>
        </row>
        <row r="704">
          <cell r="B704">
            <v>700</v>
          </cell>
          <cell r="C704">
            <v>1504.7100000000141</v>
          </cell>
          <cell r="D704">
            <v>2106.59</v>
          </cell>
          <cell r="F704">
            <v>911.00999999998828</v>
          </cell>
          <cell r="G704">
            <v>1275.4100000000001</v>
          </cell>
        </row>
        <row r="705">
          <cell r="B705">
            <v>701</v>
          </cell>
          <cell r="C705">
            <v>1506.8600000000142</v>
          </cell>
          <cell r="D705">
            <v>2109.6</v>
          </cell>
          <cell r="F705">
            <v>912.30999999998824</v>
          </cell>
          <cell r="G705">
            <v>1277.23</v>
          </cell>
        </row>
        <row r="706">
          <cell r="B706">
            <v>702</v>
          </cell>
          <cell r="C706">
            <v>1509.0100000000143</v>
          </cell>
          <cell r="D706">
            <v>2112.61</v>
          </cell>
          <cell r="F706">
            <v>913.60999999998819</v>
          </cell>
          <cell r="G706">
            <v>1279.05</v>
          </cell>
        </row>
        <row r="707">
          <cell r="B707">
            <v>703</v>
          </cell>
          <cell r="C707">
            <v>1511.1600000000144</v>
          </cell>
          <cell r="D707">
            <v>2115.62</v>
          </cell>
          <cell r="F707">
            <v>914.90999999998814</v>
          </cell>
          <cell r="G707">
            <v>1280.8699999999999</v>
          </cell>
        </row>
        <row r="708">
          <cell r="B708">
            <v>704</v>
          </cell>
          <cell r="C708">
            <v>1513.3100000000145</v>
          </cell>
          <cell r="D708">
            <v>2118.63</v>
          </cell>
          <cell r="F708">
            <v>916.2099999999881</v>
          </cell>
          <cell r="G708">
            <v>1282.69</v>
          </cell>
        </row>
        <row r="709">
          <cell r="B709">
            <v>705</v>
          </cell>
          <cell r="C709">
            <v>1515.4600000000146</v>
          </cell>
          <cell r="D709">
            <v>2121.64</v>
          </cell>
          <cell r="F709">
            <v>917.50999999998805</v>
          </cell>
          <cell r="G709">
            <v>1284.51</v>
          </cell>
        </row>
        <row r="710">
          <cell r="B710">
            <v>706</v>
          </cell>
          <cell r="C710">
            <v>1517.6100000000147</v>
          </cell>
          <cell r="D710">
            <v>2124.65</v>
          </cell>
          <cell r="F710">
            <v>918.80999999998801</v>
          </cell>
          <cell r="G710">
            <v>1286.33</v>
          </cell>
        </row>
        <row r="711">
          <cell r="B711">
            <v>707</v>
          </cell>
          <cell r="C711">
            <v>1519.7600000000148</v>
          </cell>
          <cell r="D711">
            <v>2127.66</v>
          </cell>
          <cell r="F711">
            <v>920.10999999998796</v>
          </cell>
          <cell r="G711">
            <v>1288.1500000000001</v>
          </cell>
        </row>
        <row r="712">
          <cell r="B712">
            <v>708</v>
          </cell>
          <cell r="C712">
            <v>1521.9100000000149</v>
          </cell>
          <cell r="D712">
            <v>2130.67</v>
          </cell>
          <cell r="F712">
            <v>921.40999999998792</v>
          </cell>
          <cell r="G712">
            <v>1289.97</v>
          </cell>
        </row>
        <row r="713">
          <cell r="B713">
            <v>709</v>
          </cell>
          <cell r="C713">
            <v>1524.060000000015</v>
          </cell>
          <cell r="D713">
            <v>2133.6799999999998</v>
          </cell>
          <cell r="F713">
            <v>922.70999999998787</v>
          </cell>
          <cell r="G713">
            <v>1291.79</v>
          </cell>
        </row>
        <row r="714">
          <cell r="B714">
            <v>710</v>
          </cell>
          <cell r="C714">
            <v>1526.210000000015</v>
          </cell>
          <cell r="D714">
            <v>2136.69</v>
          </cell>
          <cell r="F714">
            <v>924.00999999998783</v>
          </cell>
          <cell r="G714">
            <v>1293.6099999999999</v>
          </cell>
        </row>
        <row r="715">
          <cell r="B715">
            <v>711</v>
          </cell>
          <cell r="C715">
            <v>1528.3600000000151</v>
          </cell>
          <cell r="D715">
            <v>2139.6999999999998</v>
          </cell>
          <cell r="F715">
            <v>925.30999999998778</v>
          </cell>
          <cell r="G715">
            <v>1295.43</v>
          </cell>
        </row>
        <row r="716">
          <cell r="B716">
            <v>712</v>
          </cell>
          <cell r="C716">
            <v>1530.5100000000152</v>
          </cell>
          <cell r="D716">
            <v>2142.71</v>
          </cell>
          <cell r="F716">
            <v>926.60999999998774</v>
          </cell>
          <cell r="G716">
            <v>1297.25</v>
          </cell>
        </row>
        <row r="717">
          <cell r="B717">
            <v>713</v>
          </cell>
          <cell r="C717">
            <v>1532.6600000000153</v>
          </cell>
          <cell r="D717">
            <v>2145.7199999999998</v>
          </cell>
          <cell r="F717">
            <v>927.90999999998769</v>
          </cell>
          <cell r="G717">
            <v>1299.07</v>
          </cell>
        </row>
        <row r="718">
          <cell r="B718">
            <v>714</v>
          </cell>
          <cell r="C718">
            <v>1534.8100000000154</v>
          </cell>
          <cell r="D718">
            <v>2148.73</v>
          </cell>
          <cell r="F718">
            <v>929.20999999998764</v>
          </cell>
          <cell r="G718">
            <v>1300.8900000000001</v>
          </cell>
        </row>
        <row r="719">
          <cell r="B719">
            <v>715</v>
          </cell>
          <cell r="C719">
            <v>1536.9600000000155</v>
          </cell>
          <cell r="D719">
            <v>2151.7399999999998</v>
          </cell>
          <cell r="F719">
            <v>930.5099999999876</v>
          </cell>
          <cell r="G719">
            <v>1302.71</v>
          </cell>
        </row>
        <row r="720">
          <cell r="B720">
            <v>716</v>
          </cell>
          <cell r="C720">
            <v>1539.1100000000156</v>
          </cell>
          <cell r="D720">
            <v>2154.75</v>
          </cell>
          <cell r="F720">
            <v>931.80999999998755</v>
          </cell>
          <cell r="G720">
            <v>1304.53</v>
          </cell>
        </row>
        <row r="721">
          <cell r="B721">
            <v>717</v>
          </cell>
          <cell r="C721">
            <v>1541.2600000000157</v>
          </cell>
          <cell r="D721">
            <v>2157.7600000000002</v>
          </cell>
          <cell r="F721">
            <v>933.10999999998751</v>
          </cell>
          <cell r="G721">
            <v>1306.3499999999999</v>
          </cell>
        </row>
        <row r="722">
          <cell r="B722">
            <v>718</v>
          </cell>
          <cell r="C722">
            <v>1543.4100000000158</v>
          </cell>
          <cell r="D722">
            <v>2160.77</v>
          </cell>
          <cell r="F722">
            <v>934.40999999998746</v>
          </cell>
          <cell r="G722">
            <v>1308.17</v>
          </cell>
        </row>
        <row r="723">
          <cell r="B723">
            <v>719</v>
          </cell>
          <cell r="C723">
            <v>1545.5600000000159</v>
          </cell>
          <cell r="D723">
            <v>2163.7800000000002</v>
          </cell>
          <cell r="F723">
            <v>935.70999999998742</v>
          </cell>
          <cell r="G723">
            <v>1309.99</v>
          </cell>
        </row>
        <row r="724">
          <cell r="B724">
            <v>720</v>
          </cell>
          <cell r="C724">
            <v>1547.710000000016</v>
          </cell>
          <cell r="D724">
            <v>2166.79</v>
          </cell>
          <cell r="F724">
            <v>937.00999999998737</v>
          </cell>
          <cell r="G724">
            <v>1311.81</v>
          </cell>
        </row>
        <row r="725">
          <cell r="B725">
            <v>721</v>
          </cell>
          <cell r="C725">
            <v>1549.860000000016</v>
          </cell>
          <cell r="D725">
            <v>2169.8000000000002</v>
          </cell>
          <cell r="F725">
            <v>938.30999999998733</v>
          </cell>
          <cell r="G725">
            <v>1313.63</v>
          </cell>
        </row>
        <row r="726">
          <cell r="B726">
            <v>722</v>
          </cell>
          <cell r="C726">
            <v>1552.0100000000161</v>
          </cell>
          <cell r="D726">
            <v>2172.81</v>
          </cell>
          <cell r="F726">
            <v>939.60999999998728</v>
          </cell>
          <cell r="G726">
            <v>1315.45</v>
          </cell>
        </row>
        <row r="727">
          <cell r="B727">
            <v>723</v>
          </cell>
          <cell r="C727">
            <v>1554.1600000000162</v>
          </cell>
          <cell r="D727">
            <v>2175.8200000000002</v>
          </cell>
          <cell r="F727">
            <v>940.90999999998724</v>
          </cell>
          <cell r="G727">
            <v>1317.27</v>
          </cell>
        </row>
        <row r="728">
          <cell r="B728">
            <v>724</v>
          </cell>
          <cell r="C728">
            <v>1556.3100000000163</v>
          </cell>
          <cell r="D728">
            <v>2178.83</v>
          </cell>
          <cell r="F728">
            <v>942.20999999998719</v>
          </cell>
          <cell r="G728">
            <v>1319.09</v>
          </cell>
        </row>
        <row r="729">
          <cell r="B729">
            <v>725</v>
          </cell>
          <cell r="C729">
            <v>1558.4600000000164</v>
          </cell>
          <cell r="D729">
            <v>2181.84</v>
          </cell>
          <cell r="F729">
            <v>943.50999999998714</v>
          </cell>
          <cell r="G729">
            <v>1320.91</v>
          </cell>
        </row>
        <row r="730">
          <cell r="B730">
            <v>726</v>
          </cell>
          <cell r="C730">
            <v>1560.6100000000165</v>
          </cell>
          <cell r="D730">
            <v>2184.85</v>
          </cell>
          <cell r="F730">
            <v>944.8099999999871</v>
          </cell>
          <cell r="G730">
            <v>1322.73</v>
          </cell>
        </row>
        <row r="731">
          <cell r="B731">
            <v>727</v>
          </cell>
          <cell r="C731">
            <v>1562.7600000000166</v>
          </cell>
          <cell r="D731">
            <v>2187.86</v>
          </cell>
          <cell r="F731">
            <v>946.10999999998705</v>
          </cell>
          <cell r="G731">
            <v>1324.55</v>
          </cell>
        </row>
        <row r="732">
          <cell r="B732">
            <v>728</v>
          </cell>
          <cell r="C732">
            <v>1564.9100000000167</v>
          </cell>
          <cell r="D732">
            <v>2190.87</v>
          </cell>
          <cell r="F732">
            <v>947.40999999998701</v>
          </cell>
          <cell r="G732">
            <v>1326.37</v>
          </cell>
        </row>
        <row r="733">
          <cell r="B733">
            <v>729</v>
          </cell>
          <cell r="C733">
            <v>1567.0600000000168</v>
          </cell>
          <cell r="D733">
            <v>2193.88</v>
          </cell>
          <cell r="F733">
            <v>948.70999999998696</v>
          </cell>
          <cell r="G733">
            <v>1328.19</v>
          </cell>
        </row>
        <row r="734">
          <cell r="B734">
            <v>730</v>
          </cell>
          <cell r="C734">
            <v>1569.2100000000169</v>
          </cell>
          <cell r="D734">
            <v>2196.89</v>
          </cell>
          <cell r="F734">
            <v>950.00999999998692</v>
          </cell>
          <cell r="G734">
            <v>1330.01</v>
          </cell>
        </row>
        <row r="735">
          <cell r="B735">
            <v>731</v>
          </cell>
          <cell r="C735">
            <v>1571.360000000017</v>
          </cell>
          <cell r="D735">
            <v>2199.9</v>
          </cell>
          <cell r="F735">
            <v>951.30999999998687</v>
          </cell>
          <cell r="G735">
            <v>1331.83</v>
          </cell>
        </row>
        <row r="736">
          <cell r="B736">
            <v>732</v>
          </cell>
          <cell r="C736">
            <v>1573.510000000017</v>
          </cell>
          <cell r="D736">
            <v>2202.91</v>
          </cell>
          <cell r="F736">
            <v>952.60999999998683</v>
          </cell>
          <cell r="G736">
            <v>1333.65</v>
          </cell>
        </row>
        <row r="737">
          <cell r="B737">
            <v>733</v>
          </cell>
          <cell r="C737">
            <v>1575.6600000000171</v>
          </cell>
          <cell r="D737">
            <v>2205.92</v>
          </cell>
          <cell r="F737">
            <v>953.90999999998678</v>
          </cell>
          <cell r="G737">
            <v>1335.47</v>
          </cell>
        </row>
        <row r="738">
          <cell r="B738">
            <v>734</v>
          </cell>
          <cell r="C738">
            <v>1577.8100000000172</v>
          </cell>
          <cell r="D738">
            <v>2208.9299999999998</v>
          </cell>
          <cell r="F738">
            <v>955.20999999998674</v>
          </cell>
          <cell r="G738">
            <v>1337.29</v>
          </cell>
        </row>
        <row r="739">
          <cell r="B739">
            <v>735</v>
          </cell>
          <cell r="C739">
            <v>1579.9600000000173</v>
          </cell>
          <cell r="D739">
            <v>2211.94</v>
          </cell>
          <cell r="F739">
            <v>956.50999999998669</v>
          </cell>
          <cell r="G739">
            <v>1339.11</v>
          </cell>
        </row>
        <row r="740">
          <cell r="B740">
            <v>736</v>
          </cell>
          <cell r="C740">
            <v>1582.1100000000174</v>
          </cell>
          <cell r="D740">
            <v>2214.9499999999998</v>
          </cell>
          <cell r="F740">
            <v>957.80999999998664</v>
          </cell>
          <cell r="G740">
            <v>1340.93</v>
          </cell>
        </row>
        <row r="741">
          <cell r="B741">
            <v>737</v>
          </cell>
          <cell r="C741">
            <v>1584.2600000000175</v>
          </cell>
          <cell r="D741">
            <v>2217.96</v>
          </cell>
          <cell r="F741">
            <v>959.1099999999866</v>
          </cell>
          <cell r="G741">
            <v>1342.75</v>
          </cell>
        </row>
        <row r="742">
          <cell r="B742">
            <v>738</v>
          </cell>
          <cell r="C742">
            <v>1586.4100000000176</v>
          </cell>
          <cell r="D742">
            <v>2220.9699999999998</v>
          </cell>
          <cell r="F742">
            <v>960.40999999998655</v>
          </cell>
          <cell r="G742">
            <v>1344.57</v>
          </cell>
        </row>
        <row r="743">
          <cell r="B743">
            <v>739</v>
          </cell>
          <cell r="C743">
            <v>1588.5600000000177</v>
          </cell>
          <cell r="D743">
            <v>2223.98</v>
          </cell>
          <cell r="F743">
            <v>961.70999999998651</v>
          </cell>
          <cell r="G743">
            <v>1346.39</v>
          </cell>
        </row>
        <row r="744">
          <cell r="B744">
            <v>740</v>
          </cell>
          <cell r="C744">
            <v>1590.7100000000178</v>
          </cell>
          <cell r="D744">
            <v>2226.9899999999998</v>
          </cell>
          <cell r="F744">
            <v>963.00999999998646</v>
          </cell>
          <cell r="G744">
            <v>1348.21</v>
          </cell>
        </row>
        <row r="745">
          <cell r="B745">
            <v>741</v>
          </cell>
          <cell r="C745">
            <v>1592.8600000000179</v>
          </cell>
          <cell r="D745">
            <v>2230</v>
          </cell>
          <cell r="F745">
            <v>964.30999999998642</v>
          </cell>
          <cell r="G745">
            <v>1350.03</v>
          </cell>
        </row>
        <row r="746">
          <cell r="B746">
            <v>742</v>
          </cell>
          <cell r="C746">
            <v>1595.010000000018</v>
          </cell>
          <cell r="D746">
            <v>2233.0100000000002</v>
          </cell>
          <cell r="F746">
            <v>965.60999999998637</v>
          </cell>
          <cell r="G746">
            <v>1351.85</v>
          </cell>
        </row>
        <row r="747">
          <cell r="B747">
            <v>743</v>
          </cell>
          <cell r="C747">
            <v>1597.160000000018</v>
          </cell>
          <cell r="D747">
            <v>2236.02</v>
          </cell>
          <cell r="F747">
            <v>966.90999999998633</v>
          </cell>
          <cell r="G747">
            <v>1353.67</v>
          </cell>
        </row>
        <row r="748">
          <cell r="B748">
            <v>744</v>
          </cell>
          <cell r="C748">
            <v>1599.3100000000181</v>
          </cell>
          <cell r="D748">
            <v>2239.0300000000002</v>
          </cell>
          <cell r="F748">
            <v>968.20999999998628</v>
          </cell>
          <cell r="G748">
            <v>1355.49</v>
          </cell>
        </row>
        <row r="749">
          <cell r="B749">
            <v>745</v>
          </cell>
          <cell r="C749">
            <v>1601.4600000000182</v>
          </cell>
          <cell r="D749">
            <v>2242.04</v>
          </cell>
          <cell r="F749">
            <v>969.50999999998623</v>
          </cell>
          <cell r="G749">
            <v>1357.31</v>
          </cell>
        </row>
        <row r="750">
          <cell r="B750">
            <v>746</v>
          </cell>
          <cell r="C750">
            <v>1603.6100000000183</v>
          </cell>
          <cell r="D750">
            <v>2245.0500000000002</v>
          </cell>
          <cell r="F750">
            <v>970.80999999998619</v>
          </cell>
          <cell r="G750">
            <v>1359.13</v>
          </cell>
        </row>
        <row r="751">
          <cell r="B751">
            <v>747</v>
          </cell>
          <cell r="C751">
            <v>1605.7600000000184</v>
          </cell>
          <cell r="D751">
            <v>2248.06</v>
          </cell>
          <cell r="F751">
            <v>972.10999999998614</v>
          </cell>
          <cell r="G751">
            <v>1360.95</v>
          </cell>
        </row>
        <row r="752">
          <cell r="B752">
            <v>748</v>
          </cell>
          <cell r="C752">
            <v>1607.9100000000185</v>
          </cell>
          <cell r="D752">
            <v>2251.0700000000002</v>
          </cell>
          <cell r="F752">
            <v>973.4099999999861</v>
          </cell>
          <cell r="G752">
            <v>1362.77</v>
          </cell>
        </row>
        <row r="753">
          <cell r="B753">
            <v>749</v>
          </cell>
          <cell r="C753">
            <v>1610.0600000000186</v>
          </cell>
          <cell r="D753">
            <v>2254.08</v>
          </cell>
          <cell r="F753">
            <v>974.70999999998605</v>
          </cell>
          <cell r="G753">
            <v>1364.59</v>
          </cell>
        </row>
        <row r="754">
          <cell r="B754">
            <v>750</v>
          </cell>
          <cell r="C754">
            <v>1612.2100000000187</v>
          </cell>
          <cell r="D754">
            <v>2257.09</v>
          </cell>
          <cell r="F754">
            <v>976.00999999998601</v>
          </cell>
          <cell r="G754">
            <v>1366.41</v>
          </cell>
        </row>
        <row r="755">
          <cell r="B755">
            <v>751</v>
          </cell>
          <cell r="C755">
            <v>1614.3600000000188</v>
          </cell>
          <cell r="D755">
            <v>2260.1</v>
          </cell>
          <cell r="F755">
            <v>977.30999999998596</v>
          </cell>
          <cell r="G755">
            <v>1368.23</v>
          </cell>
        </row>
        <row r="756">
          <cell r="B756">
            <v>752</v>
          </cell>
          <cell r="C756">
            <v>1616.5100000000189</v>
          </cell>
          <cell r="D756">
            <v>2263.11</v>
          </cell>
          <cell r="F756">
            <v>978.60999999998592</v>
          </cell>
          <cell r="G756">
            <v>1370.05</v>
          </cell>
        </row>
        <row r="757">
          <cell r="B757">
            <v>753</v>
          </cell>
          <cell r="C757">
            <v>1618.660000000019</v>
          </cell>
          <cell r="D757">
            <v>2266.12</v>
          </cell>
          <cell r="F757">
            <v>979.90999999998587</v>
          </cell>
          <cell r="G757">
            <v>1371.87</v>
          </cell>
        </row>
        <row r="758">
          <cell r="B758">
            <v>754</v>
          </cell>
          <cell r="C758">
            <v>1620.810000000019</v>
          </cell>
          <cell r="D758">
            <v>2269.13</v>
          </cell>
          <cell r="F758">
            <v>981.20999999998583</v>
          </cell>
          <cell r="G758">
            <v>1373.69</v>
          </cell>
        </row>
        <row r="759">
          <cell r="B759">
            <v>755</v>
          </cell>
          <cell r="C759">
            <v>1622.9600000000191</v>
          </cell>
          <cell r="D759">
            <v>2272.14</v>
          </cell>
          <cell r="F759">
            <v>982.50999999998578</v>
          </cell>
          <cell r="G759">
            <v>1375.51</v>
          </cell>
        </row>
        <row r="760">
          <cell r="B760">
            <v>756</v>
          </cell>
          <cell r="C760">
            <v>1625.1100000000192</v>
          </cell>
          <cell r="D760">
            <v>2275.15</v>
          </cell>
          <cell r="F760">
            <v>983.80999999998573</v>
          </cell>
          <cell r="G760">
            <v>1377.33</v>
          </cell>
        </row>
        <row r="761">
          <cell r="B761">
            <v>757</v>
          </cell>
          <cell r="C761">
            <v>1627.2600000000193</v>
          </cell>
          <cell r="D761">
            <v>2278.16</v>
          </cell>
          <cell r="F761">
            <v>985.10999999998569</v>
          </cell>
          <cell r="G761">
            <v>1379.15</v>
          </cell>
        </row>
        <row r="762">
          <cell r="B762">
            <v>758</v>
          </cell>
          <cell r="C762">
            <v>1629.4100000000194</v>
          </cell>
          <cell r="D762">
            <v>2281.17</v>
          </cell>
          <cell r="F762">
            <v>986.40999999998564</v>
          </cell>
          <cell r="G762">
            <v>1380.97</v>
          </cell>
        </row>
        <row r="763">
          <cell r="B763">
            <v>759</v>
          </cell>
          <cell r="C763">
            <v>1631.5600000000195</v>
          </cell>
          <cell r="D763">
            <v>2284.1799999999998</v>
          </cell>
          <cell r="F763">
            <v>987.7099999999856</v>
          </cell>
          <cell r="G763">
            <v>1382.79</v>
          </cell>
        </row>
        <row r="764">
          <cell r="B764">
            <v>760</v>
          </cell>
          <cell r="C764">
            <v>1633.7100000000196</v>
          </cell>
          <cell r="D764">
            <v>2287.19</v>
          </cell>
          <cell r="F764">
            <v>989.00999999998555</v>
          </cell>
          <cell r="G764">
            <v>1384.61</v>
          </cell>
        </row>
        <row r="765">
          <cell r="B765">
            <v>761</v>
          </cell>
          <cell r="C765">
            <v>1635.8600000000197</v>
          </cell>
          <cell r="D765">
            <v>2290.1999999999998</v>
          </cell>
          <cell r="F765">
            <v>990.30999999998551</v>
          </cell>
          <cell r="G765">
            <v>1386.43</v>
          </cell>
        </row>
        <row r="766">
          <cell r="B766">
            <v>762</v>
          </cell>
          <cell r="C766">
            <v>1638.0100000000198</v>
          </cell>
          <cell r="D766">
            <v>2293.21</v>
          </cell>
          <cell r="F766">
            <v>991.60999999998546</v>
          </cell>
          <cell r="G766">
            <v>1388.25</v>
          </cell>
        </row>
        <row r="767">
          <cell r="B767">
            <v>763</v>
          </cell>
          <cell r="C767">
            <v>1640.1600000000199</v>
          </cell>
          <cell r="D767">
            <v>2296.2199999999998</v>
          </cell>
          <cell r="F767">
            <v>992.90999999998542</v>
          </cell>
          <cell r="G767">
            <v>1390.07</v>
          </cell>
        </row>
        <row r="768">
          <cell r="B768">
            <v>764</v>
          </cell>
          <cell r="C768">
            <v>1642.31000000002</v>
          </cell>
          <cell r="D768">
            <v>2299.23</v>
          </cell>
          <cell r="F768">
            <v>994.20999999998537</v>
          </cell>
          <cell r="G768">
            <v>1391.89</v>
          </cell>
        </row>
        <row r="769">
          <cell r="B769">
            <v>765</v>
          </cell>
          <cell r="C769">
            <v>1644.46000000002</v>
          </cell>
          <cell r="D769">
            <v>2302.2399999999998</v>
          </cell>
          <cell r="F769">
            <v>995.50999999998533</v>
          </cell>
          <cell r="G769">
            <v>1393.71</v>
          </cell>
        </row>
        <row r="770">
          <cell r="B770">
            <v>766</v>
          </cell>
          <cell r="C770">
            <v>1646.6100000000201</v>
          </cell>
          <cell r="D770">
            <v>2305.25</v>
          </cell>
          <cell r="F770">
            <v>996.80999999998528</v>
          </cell>
          <cell r="G770">
            <v>1395.53</v>
          </cell>
        </row>
        <row r="771">
          <cell r="B771">
            <v>767</v>
          </cell>
          <cell r="C771">
            <v>1648.7600000000202</v>
          </cell>
          <cell r="D771">
            <v>2308.2600000000002</v>
          </cell>
          <cell r="F771">
            <v>998.10999999998523</v>
          </cell>
          <cell r="G771">
            <v>1397.35</v>
          </cell>
        </row>
        <row r="772">
          <cell r="B772">
            <v>768</v>
          </cell>
          <cell r="C772">
            <v>1650.9100000000203</v>
          </cell>
          <cell r="D772">
            <v>2311.27</v>
          </cell>
          <cell r="F772">
            <v>999.40999999998519</v>
          </cell>
          <cell r="G772">
            <v>1399.17</v>
          </cell>
        </row>
        <row r="773">
          <cell r="B773">
            <v>769</v>
          </cell>
          <cell r="C773">
            <v>1653.0600000000204</v>
          </cell>
          <cell r="D773">
            <v>2314.2800000000002</v>
          </cell>
          <cell r="F773">
            <v>1000.7099999999851</v>
          </cell>
          <cell r="G773">
            <v>1400.99</v>
          </cell>
        </row>
        <row r="774">
          <cell r="B774">
            <v>770</v>
          </cell>
          <cell r="C774">
            <v>1655.2100000000205</v>
          </cell>
          <cell r="D774">
            <v>2317.29</v>
          </cell>
          <cell r="F774">
            <v>1002.0099999999851</v>
          </cell>
          <cell r="G774">
            <v>1402.81</v>
          </cell>
        </row>
        <row r="775">
          <cell r="B775">
            <v>771</v>
          </cell>
          <cell r="C775">
            <v>1657.3600000000206</v>
          </cell>
          <cell r="D775">
            <v>2320.3000000000002</v>
          </cell>
          <cell r="F775">
            <v>1003.3099999999851</v>
          </cell>
          <cell r="G775">
            <v>1404.63</v>
          </cell>
        </row>
        <row r="776">
          <cell r="B776">
            <v>772</v>
          </cell>
          <cell r="C776">
            <v>1659.5100000000207</v>
          </cell>
          <cell r="D776">
            <v>2323.31</v>
          </cell>
          <cell r="F776">
            <v>1004.609999999985</v>
          </cell>
          <cell r="G776">
            <v>1406.45</v>
          </cell>
        </row>
        <row r="777">
          <cell r="B777">
            <v>773</v>
          </cell>
          <cell r="C777">
            <v>1661.6600000000208</v>
          </cell>
          <cell r="D777">
            <v>2326.3200000000002</v>
          </cell>
          <cell r="F777">
            <v>1005.909999999985</v>
          </cell>
          <cell r="G777">
            <v>1408.27</v>
          </cell>
        </row>
        <row r="778">
          <cell r="B778">
            <v>774</v>
          </cell>
          <cell r="C778">
            <v>1663.8100000000209</v>
          </cell>
          <cell r="D778">
            <v>2329.33</v>
          </cell>
          <cell r="F778">
            <v>1007.2099999999849</v>
          </cell>
          <cell r="G778">
            <v>1410.09</v>
          </cell>
        </row>
        <row r="779">
          <cell r="B779">
            <v>775</v>
          </cell>
          <cell r="C779">
            <v>1665.960000000021</v>
          </cell>
          <cell r="D779">
            <v>2332.34</v>
          </cell>
          <cell r="F779">
            <v>1008.5099999999849</v>
          </cell>
          <cell r="G779">
            <v>1411.91</v>
          </cell>
        </row>
        <row r="780">
          <cell r="B780">
            <v>776</v>
          </cell>
          <cell r="C780">
            <v>1668.110000000021</v>
          </cell>
          <cell r="D780">
            <v>2335.35</v>
          </cell>
          <cell r="F780">
            <v>1009.8099999999848</v>
          </cell>
          <cell r="G780">
            <v>1413.73</v>
          </cell>
        </row>
        <row r="781">
          <cell r="B781">
            <v>777</v>
          </cell>
          <cell r="C781">
            <v>1670.2600000000211</v>
          </cell>
          <cell r="D781">
            <v>2338.36</v>
          </cell>
          <cell r="F781">
            <v>1011.1099999999848</v>
          </cell>
          <cell r="G781">
            <v>1415.55</v>
          </cell>
        </row>
        <row r="782">
          <cell r="B782">
            <v>778</v>
          </cell>
          <cell r="C782">
            <v>1672.4100000000212</v>
          </cell>
          <cell r="D782">
            <v>2341.37</v>
          </cell>
          <cell r="F782">
            <v>1012.4099999999847</v>
          </cell>
          <cell r="G782">
            <v>1417.37</v>
          </cell>
        </row>
        <row r="783">
          <cell r="B783">
            <v>779</v>
          </cell>
          <cell r="C783">
            <v>1674.5600000000213</v>
          </cell>
          <cell r="D783">
            <v>2344.38</v>
          </cell>
          <cell r="F783">
            <v>1013.7099999999847</v>
          </cell>
          <cell r="G783">
            <v>1419.19</v>
          </cell>
        </row>
        <row r="784">
          <cell r="B784">
            <v>780</v>
          </cell>
          <cell r="C784">
            <v>1676.7100000000214</v>
          </cell>
          <cell r="D784">
            <v>2347.39</v>
          </cell>
          <cell r="F784">
            <v>1015.0099999999846</v>
          </cell>
          <cell r="G784">
            <v>1421.01</v>
          </cell>
        </row>
        <row r="785">
          <cell r="B785">
            <v>781</v>
          </cell>
          <cell r="C785">
            <v>1678.8600000000215</v>
          </cell>
          <cell r="D785">
            <v>2350.4</v>
          </cell>
          <cell r="F785">
            <v>1016.3099999999846</v>
          </cell>
          <cell r="G785">
            <v>1422.83</v>
          </cell>
        </row>
        <row r="786">
          <cell r="B786">
            <v>782</v>
          </cell>
          <cell r="C786">
            <v>1681.0100000000216</v>
          </cell>
          <cell r="D786">
            <v>2353.41</v>
          </cell>
          <cell r="F786">
            <v>1017.6099999999846</v>
          </cell>
          <cell r="G786">
            <v>1424.65</v>
          </cell>
        </row>
        <row r="787">
          <cell r="B787">
            <v>783</v>
          </cell>
          <cell r="C787">
            <v>1683.1600000000217</v>
          </cell>
          <cell r="D787">
            <v>2356.42</v>
          </cell>
          <cell r="F787">
            <v>1018.9099999999845</v>
          </cell>
          <cell r="G787">
            <v>1426.47</v>
          </cell>
        </row>
        <row r="788">
          <cell r="B788">
            <v>784</v>
          </cell>
          <cell r="C788">
            <v>1685.3100000000218</v>
          </cell>
          <cell r="D788">
            <v>2359.4299999999998</v>
          </cell>
          <cell r="F788">
            <v>1020.2099999999845</v>
          </cell>
          <cell r="G788">
            <v>1428.29</v>
          </cell>
        </row>
        <row r="789">
          <cell r="B789">
            <v>785</v>
          </cell>
          <cell r="C789">
            <v>1687.4600000000219</v>
          </cell>
          <cell r="D789">
            <v>2362.44</v>
          </cell>
          <cell r="F789">
            <v>1021.5099999999844</v>
          </cell>
          <cell r="G789">
            <v>1430.11</v>
          </cell>
        </row>
        <row r="790">
          <cell r="B790">
            <v>786</v>
          </cell>
          <cell r="C790">
            <v>1689.610000000022</v>
          </cell>
          <cell r="D790">
            <v>2365.4499999999998</v>
          </cell>
          <cell r="F790">
            <v>1022.8099999999844</v>
          </cell>
          <cell r="G790">
            <v>1431.93</v>
          </cell>
        </row>
        <row r="791">
          <cell r="B791">
            <v>787</v>
          </cell>
          <cell r="C791">
            <v>1691.760000000022</v>
          </cell>
          <cell r="D791">
            <v>2368.46</v>
          </cell>
          <cell r="F791">
            <v>1024.1099999999844</v>
          </cell>
          <cell r="G791">
            <v>1433.75</v>
          </cell>
        </row>
        <row r="792">
          <cell r="B792">
            <v>788</v>
          </cell>
          <cell r="C792">
            <v>1693.9100000000221</v>
          </cell>
          <cell r="D792">
            <v>2371.4699999999998</v>
          </cell>
          <cell r="F792">
            <v>1025.4099999999844</v>
          </cell>
          <cell r="G792">
            <v>1435.57</v>
          </cell>
        </row>
        <row r="793">
          <cell r="B793">
            <v>789</v>
          </cell>
          <cell r="C793">
            <v>1696.0600000000222</v>
          </cell>
          <cell r="D793">
            <v>2374.48</v>
          </cell>
          <cell r="F793">
            <v>1026.7099999999843</v>
          </cell>
          <cell r="G793">
            <v>1437.39</v>
          </cell>
        </row>
        <row r="794">
          <cell r="B794">
            <v>790</v>
          </cell>
          <cell r="C794">
            <v>1698.2100000000223</v>
          </cell>
          <cell r="D794">
            <v>2377.4899999999998</v>
          </cell>
          <cell r="F794">
            <v>1028.0099999999843</v>
          </cell>
          <cell r="G794">
            <v>1439.21</v>
          </cell>
        </row>
        <row r="795">
          <cell r="B795">
            <v>791</v>
          </cell>
          <cell r="C795">
            <v>1700.3600000000224</v>
          </cell>
          <cell r="D795">
            <v>2380.5</v>
          </cell>
          <cell r="F795">
            <v>1029.3099999999843</v>
          </cell>
          <cell r="G795">
            <v>1441.03</v>
          </cell>
        </row>
        <row r="796">
          <cell r="B796">
            <v>792</v>
          </cell>
          <cell r="C796">
            <v>1702.5100000000225</v>
          </cell>
          <cell r="D796">
            <v>2383.5100000000002</v>
          </cell>
          <cell r="F796">
            <v>1030.6099999999842</v>
          </cell>
          <cell r="G796">
            <v>1442.85</v>
          </cell>
        </row>
        <row r="797">
          <cell r="B797">
            <v>793</v>
          </cell>
          <cell r="C797">
            <v>1704.6600000000226</v>
          </cell>
          <cell r="D797">
            <v>2386.52</v>
          </cell>
          <cell r="F797">
            <v>1031.9099999999842</v>
          </cell>
          <cell r="G797">
            <v>1444.67</v>
          </cell>
        </row>
        <row r="798">
          <cell r="B798">
            <v>794</v>
          </cell>
          <cell r="C798">
            <v>1706.8100000000227</v>
          </cell>
          <cell r="D798">
            <v>2389.5300000000002</v>
          </cell>
          <cell r="F798">
            <v>1033.2099999999841</v>
          </cell>
          <cell r="G798">
            <v>1446.49</v>
          </cell>
        </row>
        <row r="799">
          <cell r="B799">
            <v>795</v>
          </cell>
          <cell r="C799">
            <v>1708.9600000000228</v>
          </cell>
          <cell r="D799">
            <v>2392.54</v>
          </cell>
          <cell r="F799">
            <v>1034.5099999999841</v>
          </cell>
          <cell r="G799">
            <v>1448.31</v>
          </cell>
        </row>
        <row r="800">
          <cell r="B800">
            <v>796</v>
          </cell>
          <cell r="C800">
            <v>1711.1100000000229</v>
          </cell>
          <cell r="D800">
            <v>2395.5500000000002</v>
          </cell>
          <cell r="F800">
            <v>1035.809999999984</v>
          </cell>
          <cell r="G800">
            <v>1450.13</v>
          </cell>
        </row>
        <row r="801">
          <cell r="B801">
            <v>797</v>
          </cell>
          <cell r="C801">
            <v>1713.260000000023</v>
          </cell>
          <cell r="D801">
            <v>2398.56</v>
          </cell>
          <cell r="F801">
            <v>1037.109999999984</v>
          </cell>
          <cell r="G801">
            <v>1451.95</v>
          </cell>
        </row>
        <row r="802">
          <cell r="B802">
            <v>798</v>
          </cell>
          <cell r="C802">
            <v>1715.410000000023</v>
          </cell>
          <cell r="D802">
            <v>2401.5700000000002</v>
          </cell>
          <cell r="F802">
            <v>1038.4099999999839</v>
          </cell>
          <cell r="G802">
            <v>1453.77</v>
          </cell>
        </row>
        <row r="803">
          <cell r="B803">
            <v>799</v>
          </cell>
          <cell r="C803">
            <v>1717.5600000000231</v>
          </cell>
          <cell r="D803">
            <v>2404.58</v>
          </cell>
          <cell r="F803">
            <v>1039.7099999999839</v>
          </cell>
          <cell r="G803">
            <v>1455.59</v>
          </cell>
        </row>
        <row r="804">
          <cell r="B804">
            <v>800</v>
          </cell>
          <cell r="C804">
            <v>1719.7100000000232</v>
          </cell>
          <cell r="D804">
            <v>2407.59</v>
          </cell>
          <cell r="F804">
            <v>1041.0099999999838</v>
          </cell>
          <cell r="G804">
            <v>1457.41</v>
          </cell>
        </row>
        <row r="805">
          <cell r="B805">
            <v>801</v>
          </cell>
          <cell r="C805">
            <v>1721.8600000000233</v>
          </cell>
          <cell r="D805">
            <v>2410.6</v>
          </cell>
          <cell r="F805">
            <v>1042.3099999999838</v>
          </cell>
          <cell r="G805">
            <v>1459.23</v>
          </cell>
        </row>
        <row r="806">
          <cell r="B806">
            <v>802</v>
          </cell>
          <cell r="C806">
            <v>1724.0100000000234</v>
          </cell>
          <cell r="D806">
            <v>2413.61</v>
          </cell>
          <cell r="F806">
            <v>1043.6099999999838</v>
          </cell>
          <cell r="G806">
            <v>1461.05</v>
          </cell>
        </row>
        <row r="807">
          <cell r="B807">
            <v>803</v>
          </cell>
          <cell r="C807">
            <v>1726.1600000000235</v>
          </cell>
          <cell r="D807">
            <v>2416.62</v>
          </cell>
          <cell r="F807">
            <v>1044.9099999999837</v>
          </cell>
          <cell r="G807">
            <v>1462.87</v>
          </cell>
        </row>
        <row r="808">
          <cell r="B808">
            <v>804</v>
          </cell>
          <cell r="C808">
            <v>1728.3100000000236</v>
          </cell>
          <cell r="D808">
            <v>2419.63</v>
          </cell>
          <cell r="F808">
            <v>1046.2099999999837</v>
          </cell>
          <cell r="G808">
            <v>1464.69</v>
          </cell>
        </row>
        <row r="809">
          <cell r="B809">
            <v>805</v>
          </cell>
          <cell r="C809">
            <v>1730.4600000000237</v>
          </cell>
          <cell r="D809">
            <v>2422.64</v>
          </cell>
          <cell r="F809">
            <v>1047.5099999999836</v>
          </cell>
          <cell r="G809">
            <v>1466.51</v>
          </cell>
        </row>
        <row r="810">
          <cell r="B810">
            <v>806</v>
          </cell>
          <cell r="C810">
            <v>1732.6100000000238</v>
          </cell>
          <cell r="D810">
            <v>2425.65</v>
          </cell>
          <cell r="F810">
            <v>1048.8099999999836</v>
          </cell>
          <cell r="G810">
            <v>1468.33</v>
          </cell>
        </row>
        <row r="811">
          <cell r="B811">
            <v>807</v>
          </cell>
          <cell r="C811">
            <v>1734.7600000000239</v>
          </cell>
          <cell r="D811">
            <v>2428.66</v>
          </cell>
          <cell r="F811">
            <v>1050.1099999999835</v>
          </cell>
          <cell r="G811">
            <v>1470.15</v>
          </cell>
        </row>
        <row r="812">
          <cell r="B812">
            <v>808</v>
          </cell>
          <cell r="C812">
            <v>1736.910000000024</v>
          </cell>
          <cell r="D812">
            <v>2431.67</v>
          </cell>
          <cell r="F812">
            <v>1051.4099999999835</v>
          </cell>
          <cell r="G812">
            <v>1471.97</v>
          </cell>
        </row>
        <row r="813">
          <cell r="B813">
            <v>809</v>
          </cell>
          <cell r="C813">
            <v>1739.060000000024</v>
          </cell>
          <cell r="D813">
            <v>2434.6799999999998</v>
          </cell>
          <cell r="F813">
            <v>1052.7099999999834</v>
          </cell>
          <cell r="G813">
            <v>1473.79</v>
          </cell>
        </row>
        <row r="814">
          <cell r="B814">
            <v>810</v>
          </cell>
          <cell r="C814">
            <v>1741.2100000000241</v>
          </cell>
          <cell r="D814">
            <v>2437.69</v>
          </cell>
          <cell r="F814">
            <v>1054.0099999999834</v>
          </cell>
          <cell r="G814">
            <v>1475.61</v>
          </cell>
        </row>
        <row r="815">
          <cell r="B815">
            <v>811</v>
          </cell>
          <cell r="C815">
            <v>1743.3600000000242</v>
          </cell>
          <cell r="D815">
            <v>2440.6999999999998</v>
          </cell>
          <cell r="F815">
            <v>1055.3099999999833</v>
          </cell>
          <cell r="G815">
            <v>1477.43</v>
          </cell>
        </row>
        <row r="816">
          <cell r="B816">
            <v>812</v>
          </cell>
          <cell r="C816">
            <v>1745.5100000000243</v>
          </cell>
          <cell r="D816">
            <v>2443.71</v>
          </cell>
          <cell r="F816">
            <v>1056.6099999999833</v>
          </cell>
          <cell r="G816">
            <v>1479.25</v>
          </cell>
        </row>
        <row r="817">
          <cell r="B817">
            <v>813</v>
          </cell>
          <cell r="C817">
            <v>1747.6600000000244</v>
          </cell>
          <cell r="D817">
            <v>2446.7199999999998</v>
          </cell>
          <cell r="F817">
            <v>1057.9099999999833</v>
          </cell>
          <cell r="G817">
            <v>1481.07</v>
          </cell>
        </row>
        <row r="818">
          <cell r="B818">
            <v>814</v>
          </cell>
          <cell r="C818">
            <v>1749.8100000000245</v>
          </cell>
          <cell r="D818">
            <v>2449.73</v>
          </cell>
          <cell r="F818">
            <v>1059.2099999999832</v>
          </cell>
          <cell r="G818">
            <v>1482.89</v>
          </cell>
        </row>
        <row r="819">
          <cell r="B819">
            <v>815</v>
          </cell>
          <cell r="C819">
            <v>1751.9600000000246</v>
          </cell>
          <cell r="D819">
            <v>2452.7399999999998</v>
          </cell>
          <cell r="F819">
            <v>1060.5099999999832</v>
          </cell>
          <cell r="G819">
            <v>1484.71</v>
          </cell>
        </row>
        <row r="820">
          <cell r="B820">
            <v>816</v>
          </cell>
          <cell r="C820">
            <v>1754.1100000000247</v>
          </cell>
          <cell r="D820">
            <v>2455.75</v>
          </cell>
          <cell r="F820">
            <v>1061.8099999999831</v>
          </cell>
          <cell r="G820">
            <v>1486.53</v>
          </cell>
        </row>
        <row r="821">
          <cell r="B821">
            <v>817</v>
          </cell>
          <cell r="C821">
            <v>1756.2600000000248</v>
          </cell>
          <cell r="D821">
            <v>2458.7600000000002</v>
          </cell>
          <cell r="F821">
            <v>1063.1099999999831</v>
          </cell>
          <cell r="G821">
            <v>1488.35</v>
          </cell>
        </row>
        <row r="822">
          <cell r="B822">
            <v>818</v>
          </cell>
          <cell r="C822">
            <v>1758.4100000000249</v>
          </cell>
          <cell r="D822">
            <v>2461.77</v>
          </cell>
          <cell r="F822">
            <v>1064.409999999983</v>
          </cell>
          <cell r="G822">
            <v>1490.17</v>
          </cell>
        </row>
        <row r="823">
          <cell r="B823">
            <v>819</v>
          </cell>
          <cell r="C823">
            <v>1760.560000000025</v>
          </cell>
          <cell r="D823">
            <v>2464.7800000000002</v>
          </cell>
          <cell r="F823">
            <v>1065.709999999983</v>
          </cell>
          <cell r="G823">
            <v>1491.99</v>
          </cell>
        </row>
        <row r="824">
          <cell r="B824">
            <v>820</v>
          </cell>
          <cell r="C824">
            <v>1762.710000000025</v>
          </cell>
          <cell r="D824">
            <v>2467.79</v>
          </cell>
          <cell r="F824">
            <v>1067.0099999999829</v>
          </cell>
          <cell r="G824">
            <v>1493.81</v>
          </cell>
        </row>
        <row r="825">
          <cell r="B825">
            <v>821</v>
          </cell>
          <cell r="C825">
            <v>1764.8600000000251</v>
          </cell>
          <cell r="D825">
            <v>2470.8000000000002</v>
          </cell>
          <cell r="F825">
            <v>1068.3099999999829</v>
          </cell>
          <cell r="G825">
            <v>1495.63</v>
          </cell>
        </row>
        <row r="826">
          <cell r="B826">
            <v>822</v>
          </cell>
          <cell r="C826">
            <v>1767.0100000000252</v>
          </cell>
          <cell r="D826">
            <v>2473.81</v>
          </cell>
          <cell r="F826">
            <v>1069.6099999999828</v>
          </cell>
          <cell r="G826">
            <v>1497.45</v>
          </cell>
        </row>
        <row r="827">
          <cell r="B827">
            <v>823</v>
          </cell>
          <cell r="C827">
            <v>1769.1600000000253</v>
          </cell>
          <cell r="D827">
            <v>2476.8200000000002</v>
          </cell>
          <cell r="F827">
            <v>1070.9099999999828</v>
          </cell>
          <cell r="G827">
            <v>1499.27</v>
          </cell>
        </row>
        <row r="828">
          <cell r="B828">
            <v>824</v>
          </cell>
          <cell r="C828">
            <v>1771.3100000000254</v>
          </cell>
          <cell r="D828">
            <v>2479.83</v>
          </cell>
          <cell r="F828">
            <v>1072.2099999999828</v>
          </cell>
          <cell r="G828">
            <v>1501.09</v>
          </cell>
        </row>
        <row r="829">
          <cell r="B829">
            <v>825</v>
          </cell>
          <cell r="C829">
            <v>1773.4600000000255</v>
          </cell>
          <cell r="D829">
            <v>2482.84</v>
          </cell>
          <cell r="F829">
            <v>1073.5099999999827</v>
          </cell>
          <cell r="G829">
            <v>1502.91</v>
          </cell>
        </row>
        <row r="830">
          <cell r="B830">
            <v>826</v>
          </cell>
          <cell r="C830">
            <v>1775.6100000000256</v>
          </cell>
          <cell r="D830">
            <v>2485.85</v>
          </cell>
          <cell r="F830">
            <v>1074.8099999999827</v>
          </cell>
          <cell r="G830">
            <v>1504.73</v>
          </cell>
        </row>
        <row r="831">
          <cell r="B831">
            <v>827</v>
          </cell>
          <cell r="C831">
            <v>1777.7600000000257</v>
          </cell>
          <cell r="D831">
            <v>2488.86</v>
          </cell>
          <cell r="F831">
            <v>1076.1099999999826</v>
          </cell>
          <cell r="G831">
            <v>1506.55</v>
          </cell>
        </row>
        <row r="832">
          <cell r="B832">
            <v>828</v>
          </cell>
          <cell r="C832">
            <v>1779.9100000000258</v>
          </cell>
          <cell r="D832">
            <v>2491.87</v>
          </cell>
          <cell r="F832">
            <v>1077.4099999999826</v>
          </cell>
          <cell r="G832">
            <v>1508.37</v>
          </cell>
        </row>
        <row r="833">
          <cell r="B833">
            <v>829</v>
          </cell>
          <cell r="C833">
            <v>1782.0600000000259</v>
          </cell>
          <cell r="D833">
            <v>2494.88</v>
          </cell>
          <cell r="F833">
            <v>1078.7099999999825</v>
          </cell>
          <cell r="G833">
            <v>1510.19</v>
          </cell>
        </row>
        <row r="834">
          <cell r="B834">
            <v>830</v>
          </cell>
          <cell r="C834">
            <v>1784.210000000026</v>
          </cell>
          <cell r="D834">
            <v>2497.89</v>
          </cell>
          <cell r="F834">
            <v>1080.0099999999825</v>
          </cell>
          <cell r="G834">
            <v>1512.01</v>
          </cell>
        </row>
        <row r="835">
          <cell r="B835">
            <v>831</v>
          </cell>
          <cell r="C835">
            <v>1786.360000000026</v>
          </cell>
          <cell r="D835">
            <v>2500.9</v>
          </cell>
          <cell r="F835">
            <v>1081.3099999999824</v>
          </cell>
          <cell r="G835">
            <v>1513.83</v>
          </cell>
        </row>
        <row r="836">
          <cell r="B836">
            <v>832</v>
          </cell>
          <cell r="C836">
            <v>1788.5100000000261</v>
          </cell>
          <cell r="D836">
            <v>2503.91</v>
          </cell>
          <cell r="F836">
            <v>1082.6099999999824</v>
          </cell>
          <cell r="G836">
            <v>1515.65</v>
          </cell>
        </row>
        <row r="837">
          <cell r="B837">
            <v>833</v>
          </cell>
          <cell r="C837">
            <v>1790.6600000000262</v>
          </cell>
          <cell r="D837">
            <v>2506.92</v>
          </cell>
          <cell r="F837">
            <v>1083.9099999999823</v>
          </cell>
          <cell r="G837">
            <v>1517.47</v>
          </cell>
        </row>
        <row r="838">
          <cell r="B838">
            <v>834</v>
          </cell>
          <cell r="C838">
            <v>1792.8100000000263</v>
          </cell>
          <cell r="D838">
            <v>2509.9299999999998</v>
          </cell>
          <cell r="F838">
            <v>1085.2099999999823</v>
          </cell>
          <cell r="G838">
            <v>1519.29</v>
          </cell>
        </row>
        <row r="839">
          <cell r="B839">
            <v>835</v>
          </cell>
          <cell r="C839">
            <v>1794.9600000000264</v>
          </cell>
          <cell r="D839">
            <v>2512.94</v>
          </cell>
          <cell r="F839">
            <v>1086.5099999999823</v>
          </cell>
          <cell r="G839">
            <v>1521.11</v>
          </cell>
        </row>
        <row r="840">
          <cell r="B840">
            <v>836</v>
          </cell>
          <cell r="C840">
            <v>1797.1100000000265</v>
          </cell>
          <cell r="D840">
            <v>2515.9499999999998</v>
          </cell>
          <cell r="F840">
            <v>1087.8099999999822</v>
          </cell>
          <cell r="G840">
            <v>1522.93</v>
          </cell>
        </row>
        <row r="841">
          <cell r="B841">
            <v>837</v>
          </cell>
          <cell r="C841">
            <v>1799.2600000000266</v>
          </cell>
          <cell r="D841">
            <v>2518.96</v>
          </cell>
          <cell r="F841">
            <v>1089.1099999999822</v>
          </cell>
          <cell r="G841">
            <v>1524.75</v>
          </cell>
        </row>
        <row r="842">
          <cell r="B842">
            <v>838</v>
          </cell>
          <cell r="C842">
            <v>1801.4100000000267</v>
          </cell>
          <cell r="D842">
            <v>2521.9699999999998</v>
          </cell>
          <cell r="F842">
            <v>1090.4099999999821</v>
          </cell>
          <cell r="G842">
            <v>1526.57</v>
          </cell>
        </row>
        <row r="843">
          <cell r="B843">
            <v>839</v>
          </cell>
          <cell r="C843">
            <v>1803.5600000000268</v>
          </cell>
          <cell r="D843">
            <v>2524.98</v>
          </cell>
          <cell r="F843">
            <v>1091.7099999999821</v>
          </cell>
          <cell r="G843">
            <v>1528.39</v>
          </cell>
        </row>
        <row r="844">
          <cell r="B844">
            <v>840</v>
          </cell>
          <cell r="C844">
            <v>1805.7100000000269</v>
          </cell>
          <cell r="D844">
            <v>2527.9899999999998</v>
          </cell>
          <cell r="F844">
            <v>1093.009999999982</v>
          </cell>
          <cell r="G844">
            <v>1530.21</v>
          </cell>
        </row>
        <row r="845">
          <cell r="B845">
            <v>841</v>
          </cell>
          <cell r="C845">
            <v>1807.860000000027</v>
          </cell>
          <cell r="D845">
            <v>2531</v>
          </cell>
          <cell r="F845">
            <v>1094.309999999982</v>
          </cell>
          <cell r="G845">
            <v>1532.03</v>
          </cell>
        </row>
        <row r="846">
          <cell r="B846">
            <v>842</v>
          </cell>
          <cell r="C846">
            <v>1810.010000000027</v>
          </cell>
          <cell r="D846">
            <v>2534.0100000000002</v>
          </cell>
          <cell r="F846">
            <v>1095.6099999999819</v>
          </cell>
          <cell r="G846">
            <v>1533.85</v>
          </cell>
        </row>
        <row r="847">
          <cell r="B847">
            <v>843</v>
          </cell>
          <cell r="C847">
            <v>1812.1600000000271</v>
          </cell>
          <cell r="D847">
            <v>2537.02</v>
          </cell>
          <cell r="F847">
            <v>1096.9099999999819</v>
          </cell>
          <cell r="G847">
            <v>1535.67</v>
          </cell>
        </row>
        <row r="848">
          <cell r="B848">
            <v>844</v>
          </cell>
          <cell r="C848">
            <v>1814.3100000000272</v>
          </cell>
          <cell r="D848">
            <v>2540.0300000000002</v>
          </cell>
          <cell r="F848">
            <v>1098.2099999999818</v>
          </cell>
          <cell r="G848">
            <v>1537.49</v>
          </cell>
        </row>
        <row r="849">
          <cell r="B849">
            <v>845</v>
          </cell>
          <cell r="C849">
            <v>1816.4600000000273</v>
          </cell>
          <cell r="D849">
            <v>2543.04</v>
          </cell>
          <cell r="F849">
            <v>1099.5099999999818</v>
          </cell>
          <cell r="G849">
            <v>1539.31</v>
          </cell>
        </row>
        <row r="850">
          <cell r="B850">
            <v>846</v>
          </cell>
          <cell r="C850">
            <v>1818.6100000000274</v>
          </cell>
          <cell r="D850">
            <v>2546.0500000000002</v>
          </cell>
          <cell r="F850">
            <v>1100.8099999999818</v>
          </cell>
          <cell r="G850">
            <v>1541.13</v>
          </cell>
        </row>
        <row r="851">
          <cell r="B851">
            <v>847</v>
          </cell>
          <cell r="C851">
            <v>1820.7600000000275</v>
          </cell>
          <cell r="D851">
            <v>2549.06</v>
          </cell>
          <cell r="F851">
            <v>1102.1099999999817</v>
          </cell>
          <cell r="G851">
            <v>1542.95</v>
          </cell>
        </row>
        <row r="852">
          <cell r="B852">
            <v>848</v>
          </cell>
          <cell r="C852">
            <v>1822.9100000000276</v>
          </cell>
          <cell r="D852">
            <v>2552.0700000000002</v>
          </cell>
          <cell r="F852">
            <v>1103.4099999999817</v>
          </cell>
          <cell r="G852">
            <v>1544.77</v>
          </cell>
        </row>
        <row r="853">
          <cell r="B853">
            <v>849</v>
          </cell>
          <cell r="C853">
            <v>1825.0600000000277</v>
          </cell>
          <cell r="D853">
            <v>2555.08</v>
          </cell>
          <cell r="F853">
            <v>1104.7099999999816</v>
          </cell>
          <cell r="G853">
            <v>1546.59</v>
          </cell>
        </row>
        <row r="854">
          <cell r="B854">
            <v>850</v>
          </cell>
          <cell r="C854">
            <v>1827.2100000000278</v>
          </cell>
          <cell r="D854">
            <v>2558.09</v>
          </cell>
          <cell r="F854">
            <v>1106.0099999999816</v>
          </cell>
          <cell r="G854">
            <v>1548.41</v>
          </cell>
        </row>
        <row r="855">
          <cell r="B855">
            <v>851</v>
          </cell>
          <cell r="C855">
            <v>1829.3600000000279</v>
          </cell>
          <cell r="D855">
            <v>2561.1</v>
          </cell>
          <cell r="F855">
            <v>1107.3099999999815</v>
          </cell>
          <cell r="G855">
            <v>1550.23</v>
          </cell>
        </row>
        <row r="856">
          <cell r="B856">
            <v>852</v>
          </cell>
          <cell r="C856">
            <v>1831.510000000028</v>
          </cell>
          <cell r="D856">
            <v>2564.11</v>
          </cell>
          <cell r="F856">
            <v>1108.6099999999815</v>
          </cell>
          <cell r="G856">
            <v>1552.05</v>
          </cell>
        </row>
        <row r="857">
          <cell r="B857">
            <v>853</v>
          </cell>
          <cell r="C857">
            <v>1833.660000000028</v>
          </cell>
          <cell r="D857">
            <v>2567.12</v>
          </cell>
          <cell r="F857">
            <v>1109.9099999999814</v>
          </cell>
          <cell r="G857">
            <v>1553.87</v>
          </cell>
        </row>
        <row r="858">
          <cell r="B858">
            <v>854</v>
          </cell>
          <cell r="C858">
            <v>1835.8100000000281</v>
          </cell>
          <cell r="D858">
            <v>2570.13</v>
          </cell>
          <cell r="F858">
            <v>1111.2099999999814</v>
          </cell>
          <cell r="G858">
            <v>1555.69</v>
          </cell>
        </row>
        <row r="859">
          <cell r="B859">
            <v>855</v>
          </cell>
          <cell r="C859">
            <v>1837.9600000000282</v>
          </cell>
          <cell r="D859">
            <v>2573.14</v>
          </cell>
          <cell r="F859">
            <v>1112.5099999999813</v>
          </cell>
          <cell r="G859">
            <v>1557.51</v>
          </cell>
        </row>
        <row r="860">
          <cell r="B860">
            <v>856</v>
          </cell>
          <cell r="C860">
            <v>1840.1100000000283</v>
          </cell>
          <cell r="D860">
            <v>2576.15</v>
          </cell>
          <cell r="F860">
            <v>1113.8099999999813</v>
          </cell>
          <cell r="G860">
            <v>1559.33</v>
          </cell>
        </row>
        <row r="861">
          <cell r="B861">
            <v>857</v>
          </cell>
          <cell r="C861">
            <v>1842.2600000000284</v>
          </cell>
          <cell r="D861">
            <v>2579.16</v>
          </cell>
          <cell r="F861">
            <v>1115.1099999999813</v>
          </cell>
          <cell r="G861">
            <v>1561.15</v>
          </cell>
        </row>
        <row r="862">
          <cell r="B862">
            <v>858</v>
          </cell>
          <cell r="C862">
            <v>1844.4100000000285</v>
          </cell>
          <cell r="D862">
            <v>2582.17</v>
          </cell>
          <cell r="F862">
            <v>1116.4099999999812</v>
          </cell>
          <cell r="G862">
            <v>1562.97</v>
          </cell>
        </row>
        <row r="863">
          <cell r="B863">
            <v>859</v>
          </cell>
          <cell r="C863">
            <v>1846.5600000000286</v>
          </cell>
          <cell r="D863">
            <v>2585.1799999999998</v>
          </cell>
          <cell r="F863">
            <v>1117.7099999999812</v>
          </cell>
          <cell r="G863">
            <v>1564.79</v>
          </cell>
        </row>
        <row r="864">
          <cell r="B864">
            <v>860</v>
          </cell>
          <cell r="C864">
            <v>1848.7100000000287</v>
          </cell>
          <cell r="D864">
            <v>2588.19</v>
          </cell>
          <cell r="F864">
            <v>1119.0099999999811</v>
          </cell>
          <cell r="G864">
            <v>1566.61</v>
          </cell>
        </row>
        <row r="865">
          <cell r="B865">
            <v>861</v>
          </cell>
          <cell r="C865">
            <v>1850.8600000000288</v>
          </cell>
          <cell r="D865">
            <v>2591.1999999999998</v>
          </cell>
          <cell r="F865">
            <v>1120.3099999999811</v>
          </cell>
          <cell r="G865">
            <v>1568.43</v>
          </cell>
        </row>
        <row r="866">
          <cell r="B866">
            <v>862</v>
          </cell>
          <cell r="C866">
            <v>1853.0100000000289</v>
          </cell>
          <cell r="D866">
            <v>2594.21</v>
          </cell>
          <cell r="F866">
            <v>1121.609999999981</v>
          </cell>
          <cell r="G866">
            <v>1570.25</v>
          </cell>
        </row>
        <row r="867">
          <cell r="B867">
            <v>863</v>
          </cell>
          <cell r="C867">
            <v>1855.160000000029</v>
          </cell>
          <cell r="D867">
            <v>2597.2199999999998</v>
          </cell>
          <cell r="F867">
            <v>1122.909999999981</v>
          </cell>
          <cell r="G867">
            <v>1572.07</v>
          </cell>
        </row>
        <row r="868">
          <cell r="B868">
            <v>864</v>
          </cell>
          <cell r="C868">
            <v>1857.310000000029</v>
          </cell>
          <cell r="D868">
            <v>2600.23</v>
          </cell>
          <cell r="F868">
            <v>1124.2099999999809</v>
          </cell>
          <cell r="G868">
            <v>1573.89</v>
          </cell>
        </row>
        <row r="869">
          <cell r="B869">
            <v>865</v>
          </cell>
          <cell r="C869">
            <v>1859.4600000000291</v>
          </cell>
          <cell r="D869">
            <v>2603.2399999999998</v>
          </cell>
          <cell r="F869">
            <v>1125.5099999999809</v>
          </cell>
          <cell r="G869">
            <v>1575.71</v>
          </cell>
        </row>
        <row r="870">
          <cell r="B870">
            <v>866</v>
          </cell>
          <cell r="C870">
            <v>1861.6100000000292</v>
          </cell>
          <cell r="D870">
            <v>2606.25</v>
          </cell>
          <cell r="F870">
            <v>1126.8099999999808</v>
          </cell>
          <cell r="G870">
            <v>1577.53</v>
          </cell>
        </row>
        <row r="871">
          <cell r="B871">
            <v>867</v>
          </cell>
          <cell r="C871">
            <v>1863.7600000000293</v>
          </cell>
          <cell r="D871">
            <v>2609.2600000000002</v>
          </cell>
          <cell r="F871">
            <v>1128.1099999999808</v>
          </cell>
          <cell r="G871">
            <v>1579.35</v>
          </cell>
        </row>
        <row r="872">
          <cell r="B872">
            <v>868</v>
          </cell>
          <cell r="C872">
            <v>1865.9100000000294</v>
          </cell>
          <cell r="D872">
            <v>2612.27</v>
          </cell>
          <cell r="F872">
            <v>1129.4099999999808</v>
          </cell>
          <cell r="G872">
            <v>1581.17</v>
          </cell>
        </row>
        <row r="873">
          <cell r="B873">
            <v>869</v>
          </cell>
          <cell r="C873">
            <v>1868.0600000000295</v>
          </cell>
          <cell r="D873">
            <v>2615.2800000000002</v>
          </cell>
          <cell r="F873">
            <v>1130.7099999999807</v>
          </cell>
          <cell r="G873">
            <v>1582.99</v>
          </cell>
        </row>
        <row r="874">
          <cell r="B874">
            <v>870</v>
          </cell>
          <cell r="C874">
            <v>1870.2100000000296</v>
          </cell>
          <cell r="D874">
            <v>2618.29</v>
          </cell>
          <cell r="F874">
            <v>1132.0099999999807</v>
          </cell>
          <cell r="G874">
            <v>1584.81</v>
          </cell>
        </row>
        <row r="875">
          <cell r="B875">
            <v>871</v>
          </cell>
          <cell r="C875">
            <v>1872.3600000000297</v>
          </cell>
          <cell r="D875">
            <v>2621.3000000000002</v>
          </cell>
          <cell r="F875">
            <v>1133.3099999999806</v>
          </cell>
          <cell r="G875">
            <v>1586.63</v>
          </cell>
        </row>
        <row r="876">
          <cell r="B876">
            <v>872</v>
          </cell>
          <cell r="C876">
            <v>1874.5100000000298</v>
          </cell>
          <cell r="D876">
            <v>2624.31</v>
          </cell>
          <cell r="F876">
            <v>1134.6099999999806</v>
          </cell>
          <cell r="G876">
            <v>1588.45</v>
          </cell>
        </row>
        <row r="877">
          <cell r="B877">
            <v>873</v>
          </cell>
          <cell r="C877">
            <v>1876.6600000000299</v>
          </cell>
          <cell r="D877">
            <v>2627.32</v>
          </cell>
          <cell r="F877">
            <v>1135.9099999999805</v>
          </cell>
          <cell r="G877">
            <v>1590.27</v>
          </cell>
        </row>
        <row r="878">
          <cell r="B878">
            <v>874</v>
          </cell>
          <cell r="C878">
            <v>1878.81000000003</v>
          </cell>
          <cell r="D878">
            <v>2630.33</v>
          </cell>
          <cell r="F878">
            <v>1137.2099999999805</v>
          </cell>
          <cell r="G878">
            <v>1592.09</v>
          </cell>
        </row>
        <row r="879">
          <cell r="B879">
            <v>875</v>
          </cell>
          <cell r="C879">
            <v>1880.96000000003</v>
          </cell>
          <cell r="D879">
            <v>2633.34</v>
          </cell>
          <cell r="F879">
            <v>1138.5099999999804</v>
          </cell>
          <cell r="G879">
            <v>1593.91</v>
          </cell>
        </row>
        <row r="880">
          <cell r="B880">
            <v>876</v>
          </cell>
          <cell r="C880">
            <v>1883.1100000000301</v>
          </cell>
          <cell r="D880">
            <v>2636.35</v>
          </cell>
          <cell r="F880">
            <v>1139.8099999999804</v>
          </cell>
          <cell r="G880">
            <v>1595.73</v>
          </cell>
        </row>
        <row r="881">
          <cell r="B881">
            <v>877</v>
          </cell>
          <cell r="C881">
            <v>1885.2600000000302</v>
          </cell>
          <cell r="D881">
            <v>2639.36</v>
          </cell>
          <cell r="F881">
            <v>1141.1099999999803</v>
          </cell>
          <cell r="G881">
            <v>1597.55</v>
          </cell>
        </row>
        <row r="882">
          <cell r="B882">
            <v>878</v>
          </cell>
          <cell r="C882">
            <v>1887.4100000000303</v>
          </cell>
          <cell r="D882">
            <v>2642.37</v>
          </cell>
          <cell r="F882">
            <v>1142.4099999999803</v>
          </cell>
          <cell r="G882">
            <v>1599.37</v>
          </cell>
        </row>
        <row r="883">
          <cell r="B883">
            <v>879</v>
          </cell>
          <cell r="C883">
            <v>1889.5600000000304</v>
          </cell>
          <cell r="D883">
            <v>2645.38</v>
          </cell>
          <cell r="F883">
            <v>1143.7099999999803</v>
          </cell>
          <cell r="G883">
            <v>1601.19</v>
          </cell>
        </row>
        <row r="884">
          <cell r="B884">
            <v>880</v>
          </cell>
          <cell r="C884">
            <v>1891.7100000000305</v>
          </cell>
          <cell r="D884">
            <v>2648.39</v>
          </cell>
          <cell r="F884">
            <v>1145.0099999999802</v>
          </cell>
          <cell r="G884">
            <v>1603.01</v>
          </cell>
        </row>
        <row r="885">
          <cell r="B885">
            <v>881</v>
          </cell>
          <cell r="C885">
            <v>1893.8600000000306</v>
          </cell>
          <cell r="D885">
            <v>2651.4</v>
          </cell>
          <cell r="F885">
            <v>1146.3099999999802</v>
          </cell>
          <cell r="G885">
            <v>1604.83</v>
          </cell>
        </row>
        <row r="886">
          <cell r="B886">
            <v>882</v>
          </cell>
          <cell r="C886">
            <v>1896.0100000000307</v>
          </cell>
          <cell r="D886">
            <v>2654.41</v>
          </cell>
          <cell r="F886">
            <v>1147.6099999999801</v>
          </cell>
          <cell r="G886">
            <v>1606.65</v>
          </cell>
        </row>
        <row r="887">
          <cell r="B887">
            <v>883</v>
          </cell>
          <cell r="C887">
            <v>1898.1600000000308</v>
          </cell>
          <cell r="D887">
            <v>2657.42</v>
          </cell>
          <cell r="F887">
            <v>1148.9099999999801</v>
          </cell>
          <cell r="G887">
            <v>1608.47</v>
          </cell>
        </row>
        <row r="888">
          <cell r="B888">
            <v>884</v>
          </cell>
          <cell r="C888">
            <v>1900.3100000000309</v>
          </cell>
          <cell r="D888">
            <v>2660.43</v>
          </cell>
          <cell r="F888">
            <v>1150.20999999998</v>
          </cell>
          <cell r="G888">
            <v>1610.29</v>
          </cell>
        </row>
        <row r="889">
          <cell r="B889">
            <v>885</v>
          </cell>
          <cell r="C889">
            <v>1902.460000000031</v>
          </cell>
          <cell r="D889">
            <v>2663.44</v>
          </cell>
          <cell r="F889">
            <v>1151.50999999998</v>
          </cell>
          <cell r="G889">
            <v>1612.11</v>
          </cell>
        </row>
        <row r="890">
          <cell r="B890">
            <v>886</v>
          </cell>
          <cell r="C890">
            <v>1904.6100000000311</v>
          </cell>
          <cell r="D890">
            <v>2666.45</v>
          </cell>
          <cell r="F890">
            <v>1152.8099999999799</v>
          </cell>
          <cell r="G890">
            <v>1613.93</v>
          </cell>
        </row>
        <row r="891">
          <cell r="B891">
            <v>887</v>
          </cell>
          <cell r="C891">
            <v>1906.7600000000311</v>
          </cell>
          <cell r="D891">
            <v>2669.46</v>
          </cell>
          <cell r="F891">
            <v>1154.1099999999799</v>
          </cell>
          <cell r="G891">
            <v>1615.75</v>
          </cell>
        </row>
        <row r="892">
          <cell r="B892">
            <v>888</v>
          </cell>
          <cell r="C892">
            <v>1908.9100000000312</v>
          </cell>
          <cell r="D892">
            <v>2672.47</v>
          </cell>
          <cell r="F892">
            <v>1155.4099999999798</v>
          </cell>
          <cell r="G892">
            <v>1617.57</v>
          </cell>
        </row>
        <row r="893">
          <cell r="B893">
            <v>889</v>
          </cell>
          <cell r="C893">
            <v>1911.0600000000313</v>
          </cell>
          <cell r="D893">
            <v>2675.48</v>
          </cell>
          <cell r="F893">
            <v>1156.7099999999798</v>
          </cell>
          <cell r="G893">
            <v>1619.39</v>
          </cell>
        </row>
        <row r="894">
          <cell r="B894">
            <v>890</v>
          </cell>
          <cell r="C894">
            <v>1913.2100000000314</v>
          </cell>
          <cell r="D894">
            <v>2678.49</v>
          </cell>
          <cell r="F894">
            <v>1158.0099999999798</v>
          </cell>
          <cell r="G894">
            <v>1621.21</v>
          </cell>
        </row>
        <row r="895">
          <cell r="B895">
            <v>891</v>
          </cell>
          <cell r="C895">
            <v>1915.3600000000315</v>
          </cell>
          <cell r="D895">
            <v>2681.5</v>
          </cell>
          <cell r="F895">
            <v>1159.3099999999797</v>
          </cell>
          <cell r="G895">
            <v>1623.03</v>
          </cell>
        </row>
        <row r="896">
          <cell r="B896">
            <v>892</v>
          </cell>
          <cell r="C896">
            <v>1917.5100000000316</v>
          </cell>
          <cell r="D896">
            <v>2684.51</v>
          </cell>
          <cell r="F896">
            <v>1160.6099999999797</v>
          </cell>
          <cell r="G896">
            <v>1624.85</v>
          </cell>
        </row>
        <row r="897">
          <cell r="B897">
            <v>893</v>
          </cell>
          <cell r="C897">
            <v>1919.6600000000317</v>
          </cell>
          <cell r="D897">
            <v>2687.52</v>
          </cell>
          <cell r="F897">
            <v>1161.9099999999796</v>
          </cell>
          <cell r="G897">
            <v>1626.67</v>
          </cell>
        </row>
        <row r="898">
          <cell r="B898">
            <v>894</v>
          </cell>
          <cell r="C898">
            <v>1921.8100000000318</v>
          </cell>
          <cell r="D898">
            <v>2690.53</v>
          </cell>
          <cell r="F898">
            <v>1163.2099999999796</v>
          </cell>
          <cell r="G898">
            <v>1628.49</v>
          </cell>
        </row>
        <row r="899">
          <cell r="B899">
            <v>895</v>
          </cell>
          <cell r="C899">
            <v>1923.9600000000319</v>
          </cell>
          <cell r="D899">
            <v>2693.54</v>
          </cell>
          <cell r="F899">
            <v>1164.5099999999795</v>
          </cell>
          <cell r="G899">
            <v>1630.31</v>
          </cell>
        </row>
        <row r="900">
          <cell r="B900">
            <v>896</v>
          </cell>
          <cell r="C900">
            <v>1926.110000000032</v>
          </cell>
          <cell r="D900">
            <v>2696.55</v>
          </cell>
          <cell r="F900">
            <v>1165.8099999999795</v>
          </cell>
          <cell r="G900">
            <v>1632.13</v>
          </cell>
        </row>
        <row r="901">
          <cell r="B901">
            <v>897</v>
          </cell>
          <cell r="C901">
            <v>1928.2600000000321</v>
          </cell>
          <cell r="D901">
            <v>2699.56</v>
          </cell>
          <cell r="F901">
            <v>1167.1099999999794</v>
          </cell>
          <cell r="G901">
            <v>1633.95</v>
          </cell>
        </row>
        <row r="902">
          <cell r="B902">
            <v>898</v>
          </cell>
          <cell r="C902">
            <v>1930.4100000000321</v>
          </cell>
          <cell r="D902">
            <v>2702.57</v>
          </cell>
          <cell r="F902">
            <v>1168.4099999999794</v>
          </cell>
          <cell r="G902">
            <v>1635.77</v>
          </cell>
        </row>
        <row r="903">
          <cell r="B903">
            <v>899</v>
          </cell>
          <cell r="C903">
            <v>1932.5600000000322</v>
          </cell>
          <cell r="D903">
            <v>2705.58</v>
          </cell>
          <cell r="F903">
            <v>1169.7099999999793</v>
          </cell>
          <cell r="G903">
            <v>1637.59</v>
          </cell>
        </row>
        <row r="904">
          <cell r="B904">
            <v>900</v>
          </cell>
          <cell r="C904">
            <v>1934.7100000000323</v>
          </cell>
          <cell r="D904">
            <v>2708.59</v>
          </cell>
          <cell r="F904">
            <v>1171.0099999999793</v>
          </cell>
          <cell r="G904">
            <v>1639.41</v>
          </cell>
        </row>
        <row r="905">
          <cell r="B905">
            <v>901</v>
          </cell>
          <cell r="C905">
            <v>1936.8600000000324</v>
          </cell>
          <cell r="D905">
            <v>2711.6</v>
          </cell>
          <cell r="F905">
            <v>1172.3099999999793</v>
          </cell>
          <cell r="G905">
            <v>1641.23</v>
          </cell>
        </row>
        <row r="906">
          <cell r="B906">
            <v>902</v>
          </cell>
          <cell r="C906">
            <v>1939.0100000000325</v>
          </cell>
          <cell r="D906">
            <v>2714.61</v>
          </cell>
          <cell r="F906">
            <v>1173.6099999999792</v>
          </cell>
          <cell r="G906">
            <v>1643.05</v>
          </cell>
        </row>
        <row r="907">
          <cell r="B907">
            <v>903</v>
          </cell>
          <cell r="C907">
            <v>1941.1600000000326</v>
          </cell>
          <cell r="D907">
            <v>2717.62</v>
          </cell>
          <cell r="F907">
            <v>1174.9099999999792</v>
          </cell>
          <cell r="G907">
            <v>1644.87</v>
          </cell>
        </row>
        <row r="908">
          <cell r="B908">
            <v>904</v>
          </cell>
          <cell r="C908">
            <v>1943.3100000000327</v>
          </cell>
          <cell r="D908">
            <v>2720.63</v>
          </cell>
          <cell r="F908">
            <v>1176.2099999999791</v>
          </cell>
          <cell r="G908">
            <v>1646.69</v>
          </cell>
        </row>
        <row r="909">
          <cell r="B909">
            <v>905</v>
          </cell>
          <cell r="C909">
            <v>1945.4600000000328</v>
          </cell>
          <cell r="D909">
            <v>2723.64</v>
          </cell>
          <cell r="F909">
            <v>1177.5099999999791</v>
          </cell>
          <cell r="G909">
            <v>1648.51</v>
          </cell>
        </row>
        <row r="910">
          <cell r="B910">
            <v>906</v>
          </cell>
          <cell r="C910">
            <v>1947.6100000000329</v>
          </cell>
          <cell r="D910">
            <v>2726.65</v>
          </cell>
          <cell r="F910">
            <v>1178.809999999979</v>
          </cell>
          <cell r="G910">
            <v>1650.33</v>
          </cell>
        </row>
        <row r="911">
          <cell r="B911">
            <v>907</v>
          </cell>
          <cell r="C911">
            <v>1949.760000000033</v>
          </cell>
          <cell r="D911">
            <v>2729.66</v>
          </cell>
          <cell r="F911">
            <v>1180.109999999979</v>
          </cell>
          <cell r="G911">
            <v>1652.15</v>
          </cell>
        </row>
        <row r="912">
          <cell r="B912">
            <v>908</v>
          </cell>
          <cell r="C912">
            <v>1951.9100000000331</v>
          </cell>
          <cell r="D912">
            <v>2732.67</v>
          </cell>
          <cell r="F912">
            <v>1181.4099999999789</v>
          </cell>
          <cell r="G912">
            <v>1653.97</v>
          </cell>
        </row>
        <row r="913">
          <cell r="B913">
            <v>909</v>
          </cell>
          <cell r="C913">
            <v>1954.0600000000331</v>
          </cell>
          <cell r="D913">
            <v>2735.68</v>
          </cell>
          <cell r="F913">
            <v>1182.7099999999789</v>
          </cell>
          <cell r="G913">
            <v>1655.79</v>
          </cell>
        </row>
        <row r="914">
          <cell r="B914">
            <v>910</v>
          </cell>
          <cell r="C914">
            <v>1956.2100000000332</v>
          </cell>
          <cell r="D914">
            <v>2738.69</v>
          </cell>
          <cell r="F914">
            <v>1184.0099999999788</v>
          </cell>
          <cell r="G914">
            <v>1657.61</v>
          </cell>
        </row>
        <row r="915">
          <cell r="B915">
            <v>911</v>
          </cell>
          <cell r="C915">
            <v>1958.3600000000333</v>
          </cell>
          <cell r="D915">
            <v>2741.7</v>
          </cell>
          <cell r="F915">
            <v>1185.3099999999788</v>
          </cell>
          <cell r="G915">
            <v>1659.43</v>
          </cell>
        </row>
        <row r="916">
          <cell r="B916">
            <v>912</v>
          </cell>
          <cell r="C916">
            <v>1960.5100000000334</v>
          </cell>
          <cell r="D916">
            <v>2744.71</v>
          </cell>
          <cell r="F916">
            <v>1186.6099999999788</v>
          </cell>
          <cell r="G916">
            <v>1661.25</v>
          </cell>
        </row>
        <row r="917">
          <cell r="B917">
            <v>913</v>
          </cell>
          <cell r="C917">
            <v>1962.6600000000335</v>
          </cell>
          <cell r="D917">
            <v>2747.72</v>
          </cell>
          <cell r="F917">
            <v>1187.9099999999787</v>
          </cell>
          <cell r="G917">
            <v>1663.07</v>
          </cell>
        </row>
        <row r="918">
          <cell r="B918">
            <v>914</v>
          </cell>
          <cell r="C918">
            <v>1964.8100000000336</v>
          </cell>
          <cell r="D918">
            <v>2750.73</v>
          </cell>
          <cell r="F918">
            <v>1189.2099999999787</v>
          </cell>
          <cell r="G918">
            <v>1664.89</v>
          </cell>
        </row>
        <row r="919">
          <cell r="B919">
            <v>915</v>
          </cell>
          <cell r="C919">
            <v>1966.9600000000337</v>
          </cell>
          <cell r="D919">
            <v>2753.74</v>
          </cell>
          <cell r="F919">
            <v>1190.5099999999786</v>
          </cell>
          <cell r="G919">
            <v>1666.71</v>
          </cell>
        </row>
        <row r="920">
          <cell r="B920">
            <v>916</v>
          </cell>
          <cell r="C920">
            <v>1969.1100000000338</v>
          </cell>
          <cell r="D920">
            <v>2756.75</v>
          </cell>
          <cell r="F920">
            <v>1191.8099999999786</v>
          </cell>
          <cell r="G920">
            <v>1668.53</v>
          </cell>
        </row>
        <row r="921">
          <cell r="B921">
            <v>917</v>
          </cell>
          <cell r="C921">
            <v>1971.2600000000339</v>
          </cell>
          <cell r="D921">
            <v>2759.76</v>
          </cell>
          <cell r="F921">
            <v>1193.1099999999785</v>
          </cell>
          <cell r="G921">
            <v>1670.35</v>
          </cell>
        </row>
        <row r="922">
          <cell r="B922">
            <v>918</v>
          </cell>
          <cell r="C922">
            <v>1973.410000000034</v>
          </cell>
          <cell r="D922">
            <v>2762.77</v>
          </cell>
          <cell r="F922">
            <v>1194.4099999999785</v>
          </cell>
          <cell r="G922">
            <v>1672.17</v>
          </cell>
        </row>
        <row r="923">
          <cell r="B923">
            <v>919</v>
          </cell>
          <cell r="C923">
            <v>1975.5600000000341</v>
          </cell>
          <cell r="D923">
            <v>2765.78</v>
          </cell>
          <cell r="F923">
            <v>1195.7099999999784</v>
          </cell>
          <cell r="G923">
            <v>1673.99</v>
          </cell>
        </row>
        <row r="924">
          <cell r="B924">
            <v>920</v>
          </cell>
          <cell r="C924">
            <v>1977.7100000000341</v>
          </cell>
          <cell r="D924">
            <v>2768.79</v>
          </cell>
          <cell r="F924">
            <v>1197.0099999999784</v>
          </cell>
          <cell r="G924">
            <v>1675.81</v>
          </cell>
        </row>
        <row r="925">
          <cell r="B925">
            <v>921</v>
          </cell>
          <cell r="C925">
            <v>1979.8600000000342</v>
          </cell>
          <cell r="D925">
            <v>2771.8</v>
          </cell>
          <cell r="F925">
            <v>1198.3099999999783</v>
          </cell>
          <cell r="G925">
            <v>1677.63</v>
          </cell>
        </row>
        <row r="926">
          <cell r="B926">
            <v>922</v>
          </cell>
          <cell r="C926">
            <v>1982.0100000000343</v>
          </cell>
          <cell r="D926">
            <v>2774.81</v>
          </cell>
          <cell r="F926">
            <v>1199.6099999999783</v>
          </cell>
          <cell r="G926">
            <v>1679.45</v>
          </cell>
        </row>
        <row r="927">
          <cell r="B927">
            <v>923</v>
          </cell>
          <cell r="C927">
            <v>1984.1600000000344</v>
          </cell>
          <cell r="D927">
            <v>2777.82</v>
          </cell>
          <cell r="F927">
            <v>1200.9099999999783</v>
          </cell>
          <cell r="G927">
            <v>1681.27</v>
          </cell>
        </row>
        <row r="928">
          <cell r="B928">
            <v>924</v>
          </cell>
          <cell r="C928">
            <v>1986.3100000000345</v>
          </cell>
          <cell r="D928">
            <v>2780.83</v>
          </cell>
          <cell r="F928">
            <v>1202.2099999999782</v>
          </cell>
          <cell r="G928">
            <v>1683.09</v>
          </cell>
        </row>
        <row r="929">
          <cell r="B929">
            <v>925</v>
          </cell>
          <cell r="C929">
            <v>1988.4600000000346</v>
          </cell>
          <cell r="D929">
            <v>2783.84</v>
          </cell>
          <cell r="F929">
            <v>1203.5099999999782</v>
          </cell>
          <cell r="G929">
            <v>1684.91</v>
          </cell>
        </row>
        <row r="930">
          <cell r="B930">
            <v>926</v>
          </cell>
          <cell r="C930">
            <v>1990.6100000000347</v>
          </cell>
          <cell r="D930">
            <v>2786.85</v>
          </cell>
          <cell r="F930">
            <v>1204.8099999999781</v>
          </cell>
          <cell r="G930">
            <v>1686.73</v>
          </cell>
        </row>
        <row r="931">
          <cell r="B931">
            <v>927</v>
          </cell>
          <cell r="C931">
            <v>1992.7600000000348</v>
          </cell>
          <cell r="D931">
            <v>2789.86</v>
          </cell>
          <cell r="F931">
            <v>1206.1099999999781</v>
          </cell>
          <cell r="G931">
            <v>1688.55</v>
          </cell>
        </row>
        <row r="932">
          <cell r="B932">
            <v>928</v>
          </cell>
          <cell r="C932">
            <v>1994.9100000000349</v>
          </cell>
          <cell r="D932">
            <v>2792.87</v>
          </cell>
          <cell r="F932">
            <v>1207.409999999978</v>
          </cell>
          <cell r="G932">
            <v>1690.37</v>
          </cell>
        </row>
        <row r="933">
          <cell r="B933">
            <v>929</v>
          </cell>
          <cell r="C933">
            <v>1997.060000000035</v>
          </cell>
          <cell r="D933">
            <v>2795.88</v>
          </cell>
          <cell r="F933">
            <v>1208.709999999978</v>
          </cell>
          <cell r="G933">
            <v>1692.19</v>
          </cell>
        </row>
        <row r="934">
          <cell r="B934">
            <v>930</v>
          </cell>
          <cell r="C934">
            <v>1999.2100000000351</v>
          </cell>
          <cell r="D934">
            <v>2798.89</v>
          </cell>
          <cell r="F934">
            <v>1210.0099999999779</v>
          </cell>
          <cell r="G934">
            <v>1694.01</v>
          </cell>
        </row>
        <row r="935">
          <cell r="B935">
            <v>931</v>
          </cell>
          <cell r="C935">
            <v>2001.3600000000351</v>
          </cell>
          <cell r="D935">
            <v>2801.9</v>
          </cell>
          <cell r="F935">
            <v>1211.3099999999779</v>
          </cell>
          <cell r="G935">
            <v>1695.83</v>
          </cell>
        </row>
        <row r="936">
          <cell r="B936">
            <v>932</v>
          </cell>
          <cell r="C936">
            <v>2003.5100000000352</v>
          </cell>
          <cell r="D936">
            <v>2804.91</v>
          </cell>
          <cell r="F936">
            <v>1212.6099999999778</v>
          </cell>
          <cell r="G936">
            <v>1697.65</v>
          </cell>
        </row>
        <row r="937">
          <cell r="B937">
            <v>933</v>
          </cell>
          <cell r="C937">
            <v>2005.6600000000353</v>
          </cell>
          <cell r="D937">
            <v>2807.92</v>
          </cell>
          <cell r="F937">
            <v>1213.9099999999778</v>
          </cell>
          <cell r="G937">
            <v>1699.47</v>
          </cell>
        </row>
        <row r="938">
          <cell r="B938">
            <v>934</v>
          </cell>
          <cell r="C938">
            <v>2007.8100000000354</v>
          </cell>
          <cell r="D938">
            <v>2810.93</v>
          </cell>
          <cell r="F938">
            <v>1215.2099999999778</v>
          </cell>
          <cell r="G938">
            <v>1701.29</v>
          </cell>
        </row>
        <row r="939">
          <cell r="B939">
            <v>935</v>
          </cell>
          <cell r="C939">
            <v>2009.9600000000355</v>
          </cell>
          <cell r="D939">
            <v>2813.94</v>
          </cell>
          <cell r="F939">
            <v>1216.5099999999777</v>
          </cell>
          <cell r="G939">
            <v>1703.11</v>
          </cell>
        </row>
        <row r="940">
          <cell r="B940">
            <v>936</v>
          </cell>
          <cell r="C940">
            <v>2012.1100000000356</v>
          </cell>
          <cell r="D940">
            <v>2816.95</v>
          </cell>
          <cell r="F940">
            <v>1217.8099999999777</v>
          </cell>
          <cell r="G940">
            <v>1704.93</v>
          </cell>
        </row>
        <row r="941">
          <cell r="B941">
            <v>937</v>
          </cell>
          <cell r="C941">
            <v>2014.2600000000357</v>
          </cell>
          <cell r="D941">
            <v>2819.96</v>
          </cell>
          <cell r="F941">
            <v>1219.1099999999776</v>
          </cell>
          <cell r="G941">
            <v>1706.75</v>
          </cell>
        </row>
        <row r="942">
          <cell r="B942">
            <v>938</v>
          </cell>
          <cell r="C942">
            <v>2016.4100000000358</v>
          </cell>
          <cell r="D942">
            <v>2822.97</v>
          </cell>
          <cell r="F942">
            <v>1220.4099999999776</v>
          </cell>
          <cell r="G942">
            <v>1708.57</v>
          </cell>
        </row>
        <row r="943">
          <cell r="B943">
            <v>939</v>
          </cell>
          <cell r="C943">
            <v>2018.5600000000359</v>
          </cell>
          <cell r="D943">
            <v>2825.98</v>
          </cell>
          <cell r="F943">
            <v>1221.7099999999775</v>
          </cell>
          <cell r="G943">
            <v>1710.39</v>
          </cell>
        </row>
        <row r="944">
          <cell r="B944">
            <v>940</v>
          </cell>
          <cell r="C944">
            <v>2020.710000000036</v>
          </cell>
          <cell r="D944">
            <v>2828.99</v>
          </cell>
          <cell r="F944">
            <v>1223.0099999999775</v>
          </cell>
          <cell r="G944">
            <v>1712.21</v>
          </cell>
        </row>
        <row r="945">
          <cell r="B945">
            <v>941</v>
          </cell>
          <cell r="C945">
            <v>2022.8600000000361</v>
          </cell>
          <cell r="D945">
            <v>2832</v>
          </cell>
          <cell r="F945">
            <v>1224.3099999999774</v>
          </cell>
          <cell r="G945">
            <v>1714.03</v>
          </cell>
        </row>
        <row r="946">
          <cell r="B946">
            <v>942</v>
          </cell>
          <cell r="C946">
            <v>2025.0100000000361</v>
          </cell>
          <cell r="D946">
            <v>2835.01</v>
          </cell>
          <cell r="F946">
            <v>1225.6099999999774</v>
          </cell>
          <cell r="G946">
            <v>1715.85</v>
          </cell>
        </row>
        <row r="947">
          <cell r="B947">
            <v>943</v>
          </cell>
          <cell r="C947">
            <v>2027.1600000000362</v>
          </cell>
          <cell r="D947">
            <v>2838.02</v>
          </cell>
          <cell r="F947">
            <v>1226.9099999999773</v>
          </cell>
          <cell r="G947">
            <v>1717.67</v>
          </cell>
        </row>
        <row r="948">
          <cell r="B948">
            <v>944</v>
          </cell>
          <cell r="C948">
            <v>2029.3100000000363</v>
          </cell>
          <cell r="D948">
            <v>2841.03</v>
          </cell>
          <cell r="F948">
            <v>1228.2099999999773</v>
          </cell>
          <cell r="G948">
            <v>1719.49</v>
          </cell>
        </row>
        <row r="949">
          <cell r="B949">
            <v>945</v>
          </cell>
          <cell r="C949">
            <v>2031.4600000000364</v>
          </cell>
          <cell r="D949">
            <v>2844.04</v>
          </cell>
          <cell r="F949">
            <v>1229.5099999999773</v>
          </cell>
          <cell r="G949">
            <v>1721.31</v>
          </cell>
        </row>
        <row r="950">
          <cell r="B950">
            <v>946</v>
          </cell>
          <cell r="C950">
            <v>2033.6100000000365</v>
          </cell>
          <cell r="D950">
            <v>2847.05</v>
          </cell>
          <cell r="F950">
            <v>1230.8099999999772</v>
          </cell>
          <cell r="G950">
            <v>1723.13</v>
          </cell>
        </row>
        <row r="951">
          <cell r="B951">
            <v>947</v>
          </cell>
          <cell r="C951">
            <v>2035.7600000000366</v>
          </cell>
          <cell r="D951">
            <v>2850.06</v>
          </cell>
          <cell r="F951">
            <v>1232.1099999999772</v>
          </cell>
          <cell r="G951">
            <v>1724.95</v>
          </cell>
        </row>
        <row r="952">
          <cell r="B952">
            <v>948</v>
          </cell>
          <cell r="C952">
            <v>2037.9100000000367</v>
          </cell>
          <cell r="D952">
            <v>2853.07</v>
          </cell>
          <cell r="F952">
            <v>1233.4099999999771</v>
          </cell>
          <cell r="G952">
            <v>1726.77</v>
          </cell>
        </row>
        <row r="953">
          <cell r="B953">
            <v>949</v>
          </cell>
          <cell r="C953">
            <v>2040.0600000000368</v>
          </cell>
          <cell r="D953">
            <v>2856.08</v>
          </cell>
          <cell r="F953">
            <v>1234.7099999999771</v>
          </cell>
          <cell r="G953">
            <v>1728.59</v>
          </cell>
        </row>
        <row r="954">
          <cell r="B954">
            <v>950</v>
          </cell>
          <cell r="C954">
            <v>2042.2100000000369</v>
          </cell>
          <cell r="D954">
            <v>2859.09</v>
          </cell>
          <cell r="F954">
            <v>1236.009999999977</v>
          </cell>
          <cell r="G954">
            <v>1730.41</v>
          </cell>
        </row>
        <row r="955">
          <cell r="B955">
            <v>951</v>
          </cell>
          <cell r="C955">
            <v>2044.360000000037</v>
          </cell>
          <cell r="D955">
            <v>2862.1</v>
          </cell>
          <cell r="F955">
            <v>1237.309999999977</v>
          </cell>
          <cell r="G955">
            <v>1732.23</v>
          </cell>
        </row>
        <row r="956">
          <cell r="B956">
            <v>952</v>
          </cell>
          <cell r="C956">
            <v>2046.5100000000371</v>
          </cell>
          <cell r="D956">
            <v>2865.11</v>
          </cell>
          <cell r="F956">
            <v>1238.6099999999769</v>
          </cell>
          <cell r="G956">
            <v>1734.05</v>
          </cell>
        </row>
        <row r="957">
          <cell r="B957">
            <v>953</v>
          </cell>
          <cell r="C957">
            <v>2048.6600000000371</v>
          </cell>
          <cell r="D957">
            <v>2868.12</v>
          </cell>
          <cell r="F957">
            <v>1239.9099999999769</v>
          </cell>
          <cell r="G957">
            <v>1735.87</v>
          </cell>
        </row>
        <row r="958">
          <cell r="B958">
            <v>954</v>
          </cell>
          <cell r="C958">
            <v>2050.8100000000372</v>
          </cell>
          <cell r="D958">
            <v>2871.13</v>
          </cell>
          <cell r="F958">
            <v>1241.2099999999768</v>
          </cell>
          <cell r="G958">
            <v>1737.69</v>
          </cell>
        </row>
        <row r="959">
          <cell r="B959">
            <v>955</v>
          </cell>
          <cell r="C959">
            <v>2052.9600000000373</v>
          </cell>
          <cell r="D959">
            <v>2874.14</v>
          </cell>
          <cell r="F959">
            <v>1242.5099999999768</v>
          </cell>
          <cell r="G959">
            <v>1739.51</v>
          </cell>
        </row>
        <row r="960">
          <cell r="B960">
            <v>956</v>
          </cell>
          <cell r="C960">
            <v>2055.1100000000374</v>
          </cell>
          <cell r="D960">
            <v>2877.15</v>
          </cell>
          <cell r="F960">
            <v>1243.8099999999768</v>
          </cell>
          <cell r="G960">
            <v>1741.33</v>
          </cell>
        </row>
        <row r="961">
          <cell r="B961">
            <v>957</v>
          </cell>
          <cell r="C961">
            <v>2057.2600000000375</v>
          </cell>
          <cell r="D961">
            <v>2880.16</v>
          </cell>
          <cell r="F961">
            <v>1245.1099999999767</v>
          </cell>
          <cell r="G961">
            <v>1743.15</v>
          </cell>
        </row>
        <row r="962">
          <cell r="B962">
            <v>958</v>
          </cell>
          <cell r="C962">
            <v>2059.4100000000376</v>
          </cell>
          <cell r="D962">
            <v>2883.17</v>
          </cell>
          <cell r="F962">
            <v>1246.4099999999767</v>
          </cell>
          <cell r="G962">
            <v>1744.97</v>
          </cell>
        </row>
        <row r="963">
          <cell r="B963">
            <v>959</v>
          </cell>
          <cell r="C963">
            <v>2061.5600000000377</v>
          </cell>
          <cell r="D963">
            <v>2886.18</v>
          </cell>
          <cell r="F963">
            <v>1247.7099999999766</v>
          </cell>
          <cell r="G963">
            <v>1746.79</v>
          </cell>
        </row>
        <row r="964">
          <cell r="B964">
            <v>960</v>
          </cell>
          <cell r="C964">
            <v>2063.7100000000378</v>
          </cell>
          <cell r="D964">
            <v>2889.19</v>
          </cell>
          <cell r="F964">
            <v>1249.0099999999766</v>
          </cell>
          <cell r="G964">
            <v>1748.61</v>
          </cell>
        </row>
        <row r="965">
          <cell r="B965">
            <v>961</v>
          </cell>
          <cell r="C965">
            <v>2065.8600000000379</v>
          </cell>
          <cell r="D965">
            <v>2892.2</v>
          </cell>
          <cell r="F965">
            <v>1250.3099999999765</v>
          </cell>
          <cell r="G965">
            <v>1750.43</v>
          </cell>
        </row>
        <row r="966">
          <cell r="B966">
            <v>962</v>
          </cell>
          <cell r="C966">
            <v>2068.010000000038</v>
          </cell>
          <cell r="D966">
            <v>2895.21</v>
          </cell>
          <cell r="F966">
            <v>1251.6099999999765</v>
          </cell>
          <cell r="G966">
            <v>1752.25</v>
          </cell>
        </row>
        <row r="967">
          <cell r="B967">
            <v>963</v>
          </cell>
          <cell r="C967">
            <v>2070.1600000000381</v>
          </cell>
          <cell r="D967">
            <v>2898.22</v>
          </cell>
          <cell r="F967">
            <v>1252.9099999999764</v>
          </cell>
          <cell r="G967">
            <v>1754.07</v>
          </cell>
        </row>
        <row r="968">
          <cell r="B968">
            <v>964</v>
          </cell>
          <cell r="C968">
            <v>2072.3100000000381</v>
          </cell>
          <cell r="D968">
            <v>2901.23</v>
          </cell>
          <cell r="F968">
            <v>1254.2099999999764</v>
          </cell>
          <cell r="G968">
            <v>1755.89</v>
          </cell>
        </row>
        <row r="969">
          <cell r="B969">
            <v>965</v>
          </cell>
          <cell r="C969">
            <v>2074.4600000000382</v>
          </cell>
          <cell r="D969">
            <v>2904.24</v>
          </cell>
          <cell r="F969">
            <v>1255.5099999999763</v>
          </cell>
          <cell r="G969">
            <v>1757.71</v>
          </cell>
        </row>
        <row r="970">
          <cell r="B970">
            <v>966</v>
          </cell>
          <cell r="C970">
            <v>2076.6100000000383</v>
          </cell>
          <cell r="D970">
            <v>2907.25</v>
          </cell>
          <cell r="F970">
            <v>1256.8099999999763</v>
          </cell>
          <cell r="G970">
            <v>1759.53</v>
          </cell>
        </row>
        <row r="971">
          <cell r="B971">
            <v>967</v>
          </cell>
          <cell r="C971">
            <v>2078.7600000000384</v>
          </cell>
          <cell r="D971">
            <v>2910.26</v>
          </cell>
          <cell r="F971">
            <v>1258.1099999999763</v>
          </cell>
          <cell r="G971">
            <v>1761.35</v>
          </cell>
        </row>
        <row r="972">
          <cell r="B972">
            <v>968</v>
          </cell>
          <cell r="C972">
            <v>2080.9100000000385</v>
          </cell>
          <cell r="D972">
            <v>2913.27</v>
          </cell>
          <cell r="F972">
            <v>1259.4099999999762</v>
          </cell>
          <cell r="G972">
            <v>1763.17</v>
          </cell>
        </row>
        <row r="973">
          <cell r="B973">
            <v>969</v>
          </cell>
          <cell r="C973">
            <v>2083.0600000000386</v>
          </cell>
          <cell r="D973">
            <v>2916.28</v>
          </cell>
          <cell r="F973">
            <v>1260.7099999999762</v>
          </cell>
          <cell r="G973">
            <v>1764.99</v>
          </cell>
        </row>
        <row r="974">
          <cell r="B974">
            <v>970</v>
          </cell>
          <cell r="C974">
            <v>2085.2100000000387</v>
          </cell>
          <cell r="D974">
            <v>2919.29</v>
          </cell>
          <cell r="F974">
            <v>1262.0099999999761</v>
          </cell>
          <cell r="G974">
            <v>1766.81</v>
          </cell>
        </row>
        <row r="975">
          <cell r="B975">
            <v>971</v>
          </cell>
          <cell r="C975">
            <v>2087.3600000000388</v>
          </cell>
          <cell r="D975">
            <v>2922.3</v>
          </cell>
          <cell r="F975">
            <v>1263.3099999999761</v>
          </cell>
          <cell r="G975">
            <v>1768.63</v>
          </cell>
        </row>
        <row r="976">
          <cell r="B976">
            <v>972</v>
          </cell>
          <cell r="C976">
            <v>2089.5100000000389</v>
          </cell>
          <cell r="D976">
            <v>2925.31</v>
          </cell>
          <cell r="F976">
            <v>1264.609999999976</v>
          </cell>
          <cell r="G976">
            <v>1770.45</v>
          </cell>
        </row>
        <row r="977">
          <cell r="B977">
            <v>973</v>
          </cell>
          <cell r="C977">
            <v>2091.660000000039</v>
          </cell>
          <cell r="D977">
            <v>2928.32</v>
          </cell>
          <cell r="F977">
            <v>1265.909999999976</v>
          </cell>
          <cell r="G977">
            <v>1772.27</v>
          </cell>
        </row>
        <row r="978">
          <cell r="B978">
            <v>974</v>
          </cell>
          <cell r="C978">
            <v>2093.8100000000391</v>
          </cell>
          <cell r="D978">
            <v>2931.33</v>
          </cell>
          <cell r="F978">
            <v>1267.2099999999759</v>
          </cell>
          <cell r="G978">
            <v>1774.09</v>
          </cell>
        </row>
        <row r="979">
          <cell r="B979">
            <v>975</v>
          </cell>
          <cell r="C979">
            <v>2095.9600000000391</v>
          </cell>
          <cell r="D979">
            <v>2934.34</v>
          </cell>
          <cell r="F979">
            <v>1268.5099999999759</v>
          </cell>
          <cell r="G979">
            <v>1775.91</v>
          </cell>
        </row>
        <row r="980">
          <cell r="B980">
            <v>976</v>
          </cell>
          <cell r="C980">
            <v>2098.1100000000392</v>
          </cell>
          <cell r="D980">
            <v>2937.35</v>
          </cell>
          <cell r="F980">
            <v>1269.8099999999758</v>
          </cell>
          <cell r="G980">
            <v>1777.73</v>
          </cell>
        </row>
        <row r="981">
          <cell r="B981">
            <v>977</v>
          </cell>
          <cell r="C981">
            <v>2100.2600000000393</v>
          </cell>
          <cell r="D981">
            <v>2940.36</v>
          </cell>
          <cell r="F981">
            <v>1271.1099999999758</v>
          </cell>
          <cell r="G981">
            <v>1779.55</v>
          </cell>
        </row>
        <row r="982">
          <cell r="B982">
            <v>978</v>
          </cell>
          <cell r="C982">
            <v>2102.4100000000394</v>
          </cell>
          <cell r="D982">
            <v>2943.37</v>
          </cell>
          <cell r="F982">
            <v>1272.4099999999758</v>
          </cell>
          <cell r="G982">
            <v>1781.37</v>
          </cell>
        </row>
        <row r="983">
          <cell r="B983">
            <v>979</v>
          </cell>
          <cell r="C983">
            <v>2104.5600000000395</v>
          </cell>
          <cell r="D983">
            <v>2946.38</v>
          </cell>
          <cell r="F983">
            <v>1273.7099999999757</v>
          </cell>
          <cell r="G983">
            <v>1783.19</v>
          </cell>
        </row>
        <row r="984">
          <cell r="B984">
            <v>980</v>
          </cell>
          <cell r="C984">
            <v>2106.7100000000396</v>
          </cell>
          <cell r="D984">
            <v>2949.39</v>
          </cell>
          <cell r="F984">
            <v>1275.0099999999757</v>
          </cell>
          <cell r="G984">
            <v>1785.01</v>
          </cell>
        </row>
        <row r="985">
          <cell r="B985">
            <v>981</v>
          </cell>
          <cell r="C985">
            <v>2108.8600000000397</v>
          </cell>
          <cell r="D985">
            <v>2952.4</v>
          </cell>
          <cell r="F985">
            <v>1276.3099999999756</v>
          </cell>
          <cell r="G985">
            <v>1786.83</v>
          </cell>
        </row>
        <row r="986">
          <cell r="B986">
            <v>982</v>
          </cell>
          <cell r="C986">
            <v>2111.0100000000398</v>
          </cell>
          <cell r="D986">
            <v>2955.41</v>
          </cell>
          <cell r="F986">
            <v>1277.6099999999756</v>
          </cell>
          <cell r="G986">
            <v>1788.65</v>
          </cell>
        </row>
        <row r="987">
          <cell r="B987">
            <v>983</v>
          </cell>
          <cell r="C987">
            <v>2113.1600000000399</v>
          </cell>
          <cell r="D987">
            <v>2958.42</v>
          </cell>
          <cell r="F987">
            <v>1278.9099999999755</v>
          </cell>
          <cell r="G987">
            <v>1790.47</v>
          </cell>
        </row>
        <row r="988">
          <cell r="B988">
            <v>984</v>
          </cell>
          <cell r="C988">
            <v>2115.31000000004</v>
          </cell>
          <cell r="D988">
            <v>2961.43</v>
          </cell>
          <cell r="F988">
            <v>1280.2099999999755</v>
          </cell>
          <cell r="G988">
            <v>1792.29</v>
          </cell>
        </row>
        <row r="989">
          <cell r="B989">
            <v>985</v>
          </cell>
          <cell r="C989">
            <v>2117.4600000000401</v>
          </cell>
          <cell r="D989">
            <v>2964.44</v>
          </cell>
          <cell r="F989">
            <v>1281.5099999999754</v>
          </cell>
          <cell r="G989">
            <v>1794.11</v>
          </cell>
        </row>
        <row r="990">
          <cell r="B990">
            <v>986</v>
          </cell>
          <cell r="C990">
            <v>2119.6100000000401</v>
          </cell>
          <cell r="D990">
            <v>2967.45</v>
          </cell>
          <cell r="F990">
            <v>1282.8099999999754</v>
          </cell>
          <cell r="G990">
            <v>1795.93</v>
          </cell>
        </row>
        <row r="991">
          <cell r="B991">
            <v>987</v>
          </cell>
          <cell r="C991">
            <v>2121.7600000000402</v>
          </cell>
          <cell r="D991">
            <v>2970.46</v>
          </cell>
          <cell r="F991">
            <v>1284.1099999999753</v>
          </cell>
          <cell r="G991">
            <v>1797.75</v>
          </cell>
        </row>
        <row r="992">
          <cell r="B992">
            <v>988</v>
          </cell>
          <cell r="C992">
            <v>2123.9100000000403</v>
          </cell>
          <cell r="D992">
            <v>2973.47</v>
          </cell>
          <cell r="F992">
            <v>1285.4099999999753</v>
          </cell>
          <cell r="G992">
            <v>1799.57</v>
          </cell>
        </row>
        <row r="993">
          <cell r="B993">
            <v>989</v>
          </cell>
          <cell r="C993">
            <v>2126.0600000000404</v>
          </cell>
          <cell r="D993">
            <v>2976.48</v>
          </cell>
          <cell r="F993">
            <v>1286.7099999999753</v>
          </cell>
          <cell r="G993">
            <v>1801.39</v>
          </cell>
        </row>
        <row r="994">
          <cell r="B994">
            <v>990</v>
          </cell>
          <cell r="C994">
            <v>2128.2100000000405</v>
          </cell>
          <cell r="D994">
            <v>2979.49</v>
          </cell>
          <cell r="F994">
            <v>1288.0099999999752</v>
          </cell>
          <cell r="G994">
            <v>1803.21</v>
          </cell>
        </row>
        <row r="995">
          <cell r="B995">
            <v>991</v>
          </cell>
          <cell r="C995">
            <v>2130.3600000000406</v>
          </cell>
          <cell r="D995">
            <v>2982.5</v>
          </cell>
          <cell r="F995">
            <v>1289.3099999999752</v>
          </cell>
          <cell r="G995">
            <v>1805.03</v>
          </cell>
        </row>
        <row r="996">
          <cell r="B996">
            <v>992</v>
          </cell>
          <cell r="C996">
            <v>2132.5100000000407</v>
          </cell>
          <cell r="D996">
            <v>2985.51</v>
          </cell>
          <cell r="F996">
            <v>1290.6099999999751</v>
          </cell>
          <cell r="G996">
            <v>1806.85</v>
          </cell>
        </row>
        <row r="997">
          <cell r="B997">
            <v>993</v>
          </cell>
          <cell r="C997">
            <v>2134.6600000000408</v>
          </cell>
          <cell r="D997">
            <v>2988.52</v>
          </cell>
          <cell r="F997">
            <v>1291.9099999999751</v>
          </cell>
          <cell r="G997">
            <v>1808.67</v>
          </cell>
        </row>
        <row r="998">
          <cell r="B998">
            <v>994</v>
          </cell>
          <cell r="C998">
            <v>2136.8100000000409</v>
          </cell>
          <cell r="D998">
            <v>2991.53</v>
          </cell>
          <cell r="F998">
            <v>1293.209999999975</v>
          </cell>
          <cell r="G998">
            <v>1810.49</v>
          </cell>
        </row>
        <row r="999">
          <cell r="B999">
            <v>995</v>
          </cell>
          <cell r="C999">
            <v>2138.960000000041</v>
          </cell>
          <cell r="D999">
            <v>2994.54</v>
          </cell>
          <cell r="F999">
            <v>1294.509999999975</v>
          </cell>
          <cell r="G999">
            <v>1812.31</v>
          </cell>
        </row>
        <row r="1000">
          <cell r="B1000">
            <v>996</v>
          </cell>
          <cell r="C1000">
            <v>2141.1100000000411</v>
          </cell>
          <cell r="D1000">
            <v>2997.55</v>
          </cell>
          <cell r="F1000">
            <v>1295.8099999999749</v>
          </cell>
          <cell r="G1000">
            <v>1814.13</v>
          </cell>
        </row>
        <row r="1001">
          <cell r="B1001">
            <v>997</v>
          </cell>
          <cell r="C1001">
            <v>2143.2600000000411</v>
          </cell>
          <cell r="D1001">
            <v>3000.56</v>
          </cell>
          <cell r="F1001">
            <v>1297.1099999999749</v>
          </cell>
          <cell r="G1001">
            <v>1815.95</v>
          </cell>
        </row>
        <row r="1002">
          <cell r="B1002">
            <v>998</v>
          </cell>
          <cell r="C1002">
            <v>2145.4100000000412</v>
          </cell>
          <cell r="D1002">
            <v>3003.57</v>
          </cell>
          <cell r="F1002">
            <v>1298.4099999999748</v>
          </cell>
          <cell r="G1002">
            <v>1817.77</v>
          </cell>
        </row>
        <row r="1003">
          <cell r="B1003">
            <v>999</v>
          </cell>
          <cell r="C1003">
            <v>2147.5600000000413</v>
          </cell>
          <cell r="D1003">
            <v>3006.58</v>
          </cell>
          <cell r="F1003">
            <v>1299.7099999999748</v>
          </cell>
          <cell r="G1003">
            <v>1819.59</v>
          </cell>
        </row>
        <row r="1004">
          <cell r="B1004">
            <v>1000</v>
          </cell>
          <cell r="C1004">
            <v>2149.7100000000414</v>
          </cell>
          <cell r="D1004">
            <v>3009.59</v>
          </cell>
          <cell r="F1004">
            <v>1301.0099999999748</v>
          </cell>
          <cell r="G1004">
            <v>1821.41</v>
          </cell>
        </row>
        <row r="1006">
          <cell r="C1006" t="str">
            <v>2.15</v>
          </cell>
          <cell r="F1006" t="str">
            <v>1.3</v>
          </cell>
        </row>
      </sheetData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1"/>
      <sheetName val="เมนู"/>
      <sheetName val="ข้อมูลโครงการ"/>
      <sheetName val="โครงการ"/>
      <sheetName val="ITEM1"/>
      <sheetName val="ITEM2"/>
      <sheetName val="ITEM3"/>
      <sheetName val="ปริมาณงานสะพาน 1"/>
      <sheetName val="ปริมาณงานสะพาน 2"/>
      <sheetName val="ปริมาณงานสะพาน 3"/>
      <sheetName val="ระยะขนส่งวัสดุ"/>
      <sheetName val="ราคาวัสดุ1"/>
      <sheetName val="แหล่งวัสดุ"/>
      <sheetName val="S0"/>
      <sheetName val="S2"/>
      <sheetName val="S3"/>
      <sheetName val="ราคาวัสดุ2"/>
      <sheetName val="APPROACH SLAB"/>
      <sheetName val="กรอกราคาวัสดุ"/>
      <sheetName val="ชนิดป้าย"/>
      <sheetName val="กรอกชนิดและจำนวนป้าย"/>
      <sheetName val="กรอกป้ายจราจร"/>
      <sheetName val="ราคาป้าย1"/>
      <sheetName val="ราคาป้าย2"/>
      <sheetName val="ราคาป้ายจราจร"/>
      <sheetName val="คำนวน3"/>
      <sheetName val="งานอำนวยความสะดวกขณะก่อสร้าง"/>
      <sheetName val="เลือกหมายเลขท่อลอดเหลี่ยม"/>
      <sheetName val="ปร4สะพาน"/>
      <sheetName val="ปร4ท่อเหลี่ยม3"/>
      <sheetName val="ปร4ท่อเหลี่ยม1"/>
      <sheetName val="คำนวน1"/>
      <sheetName val="ปร4ท่อเหลี่ยม2"/>
      <sheetName val="ปร4รางเปิด"/>
      <sheetName val="PL402"/>
      <sheetName val="ปร4ราง"/>
      <sheetName val="คำนวน2"/>
      <sheetName val="ปร5"/>
      <sheetName val="ปร4"/>
      <sheetName val="ปร.4 ไฟฟ้า"/>
      <sheetName val="ไฟฟ้าแสงสว่าง ราคาต่อหน่วย_1"/>
      <sheetName val="ค่างานต้นทุน"/>
      <sheetName val="ข้อมูลผิวจราจร"/>
      <sheetName val="ข้อกำหนดเพิ่มเติม"/>
      <sheetName val="CON1"/>
      <sheetName val="CON2"/>
      <sheetName val="ค่าเสื่อมราคา"/>
      <sheetName val="FACTOR F"/>
      <sheetName val="FACTOR F 2"/>
      <sheetName val="งานกำแพงปากท่อ"/>
      <sheetName val="ขนาด ท่อ"/>
      <sheetName val="Oil"/>
      <sheetName val="แบบรางเปิด"/>
      <sheetName val="_ประมาณราคา"/>
    </sheetNames>
    <definedNames>
      <definedName name="เมนู"/>
    </definedNames>
    <sheetDataSet>
      <sheetData sheetId="0" refreshError="1"/>
      <sheetData sheetId="1">
        <row r="10">
          <cell r="S10">
            <v>1</v>
          </cell>
        </row>
      </sheetData>
      <sheetData sheetId="2">
        <row r="3">
          <cell r="Q3">
            <v>4.8179999999999996</v>
          </cell>
        </row>
      </sheetData>
      <sheetData sheetId="3">
        <row r="4">
          <cell r="B4" t="str">
            <v>สำนักทางหลวงชนบทที่16 (กาฬสินธุ์)</v>
          </cell>
        </row>
        <row r="5">
          <cell r="B5" t="str">
            <v>กรมทางหลวงชนบท  กระทรวงคมนาคม</v>
          </cell>
        </row>
        <row r="6">
          <cell r="A6" t="str">
            <v>โครงการก่อสร้าง</v>
          </cell>
        </row>
        <row r="11">
          <cell r="A11" t="str">
            <v>ตำบล</v>
          </cell>
          <cell r="B11" t="str">
            <v xml:space="preserve">โพนทราย  </v>
          </cell>
        </row>
      </sheetData>
      <sheetData sheetId="4" refreshError="1"/>
      <sheetData sheetId="5">
        <row r="3">
          <cell r="G3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B5">
            <v>1</v>
          </cell>
        </row>
        <row r="204">
          <cell r="C204">
            <v>391.74</v>
          </cell>
          <cell r="E204">
            <v>255.87</v>
          </cell>
          <cell r="F204">
            <v>358.22</v>
          </cell>
        </row>
        <row r="205">
          <cell r="C205">
            <v>1.96</v>
          </cell>
          <cell r="E205">
            <v>1.28</v>
          </cell>
        </row>
      </sheetData>
      <sheetData sheetId="14">
        <row r="2">
          <cell r="C2">
            <v>30.5</v>
          </cell>
        </row>
        <row r="5">
          <cell r="B5">
            <v>1</v>
          </cell>
        </row>
        <row r="204">
          <cell r="C204">
            <v>399.02</v>
          </cell>
          <cell r="E204">
            <v>261.01</v>
          </cell>
          <cell r="F204">
            <v>365.41</v>
          </cell>
        </row>
        <row r="205">
          <cell r="C205">
            <v>2</v>
          </cell>
          <cell r="E205">
            <v>1.3</v>
          </cell>
        </row>
      </sheetData>
      <sheetData sheetId="15" refreshError="1"/>
      <sheetData sheetId="16" refreshError="1"/>
      <sheetData sheetId="17" refreshError="1"/>
      <sheetData sheetId="18">
        <row r="2">
          <cell r="E2" t="str">
            <v xml:space="preserve">สาย บ.ดอนม่วงพัฒนา  </v>
          </cell>
        </row>
        <row r="3">
          <cell r="B3" t="str">
            <v>อำเภอเมือง  จังหวัดมุกดาหาร</v>
          </cell>
        </row>
        <row r="5">
          <cell r="L5">
            <v>30.5</v>
          </cell>
        </row>
        <row r="6">
          <cell r="C6">
            <v>1</v>
          </cell>
          <cell r="G6">
            <v>1</v>
          </cell>
        </row>
        <row r="8">
          <cell r="J8">
            <v>8.93</v>
          </cell>
        </row>
        <row r="9">
          <cell r="A9">
            <v>1</v>
          </cell>
          <cell r="B9" t="str">
            <v>ในสายทาง</v>
          </cell>
          <cell r="C9" t="str">
            <v>ดินตัด</v>
          </cell>
          <cell r="D9">
            <v>0</v>
          </cell>
          <cell r="E9" t="str">
            <v>บาท/ลบ.ม. ขนส่ง</v>
          </cell>
          <cell r="G9">
            <v>1</v>
          </cell>
          <cell r="H9" t="str">
            <v xml:space="preserve">กม.     </v>
          </cell>
          <cell r="I9" t="str">
            <v>=</v>
          </cell>
          <cell r="J9">
            <v>8.93</v>
          </cell>
          <cell r="K9" t="str">
            <v>บาท/ลบ.ม.</v>
          </cell>
          <cell r="L9" t="str">
            <v>รถสิบล้อ</v>
          </cell>
        </row>
        <row r="10">
          <cell r="A10">
            <v>2</v>
          </cell>
          <cell r="B10" t="str">
            <v>ในสายทาง</v>
          </cell>
          <cell r="C10" t="str">
            <v>ดินถม</v>
          </cell>
          <cell r="D10">
            <v>5</v>
          </cell>
          <cell r="E10" t="str">
            <v>บาท/ลบ.ม. ขนส่ง</v>
          </cell>
          <cell r="G10">
            <v>1</v>
          </cell>
          <cell r="H10" t="str">
            <v xml:space="preserve">กม.     </v>
          </cell>
          <cell r="I10" t="str">
            <v>=</v>
          </cell>
          <cell r="J10">
            <v>8.93</v>
          </cell>
          <cell r="K10" t="str">
            <v>บาท/ลบ.ม.</v>
          </cell>
          <cell r="L10" t="str">
            <v>รถสิบล้อ</v>
          </cell>
        </row>
        <row r="11">
          <cell r="A11">
            <v>3</v>
          </cell>
          <cell r="B11" t="str">
            <v>ในสายทาง</v>
          </cell>
          <cell r="C11" t="str">
            <v>วัสดุคัดเลือก</v>
          </cell>
          <cell r="D11">
            <v>10</v>
          </cell>
          <cell r="E11" t="str">
            <v>บาท/ลบ.ม. ขนส่ง</v>
          </cell>
          <cell r="G11">
            <v>1</v>
          </cell>
          <cell r="H11" t="str">
            <v xml:space="preserve">กม.     </v>
          </cell>
          <cell r="I11" t="str">
            <v>=</v>
          </cell>
          <cell r="J11">
            <v>8.93</v>
          </cell>
          <cell r="K11" t="str">
            <v>บาท/ลบ.ม.</v>
          </cell>
          <cell r="L11" t="str">
            <v>รถสิบล้อ</v>
          </cell>
        </row>
        <row r="12">
          <cell r="A12">
            <v>4</v>
          </cell>
          <cell r="B12" t="str">
            <v>ในสายทาง</v>
          </cell>
          <cell r="C12" t="str">
            <v>ลูกรัง</v>
          </cell>
          <cell r="D12">
            <v>15</v>
          </cell>
          <cell r="E12" t="str">
            <v>บาท/ลบ.ม. ขนส่ง</v>
          </cell>
          <cell r="G12">
            <v>1</v>
          </cell>
          <cell r="H12" t="str">
            <v xml:space="preserve">กม.     </v>
          </cell>
          <cell r="I12" t="str">
            <v>=</v>
          </cell>
          <cell r="J12">
            <v>8.93</v>
          </cell>
          <cell r="K12" t="str">
            <v>บาท/ลบ.ม.</v>
          </cell>
          <cell r="L12" t="str">
            <v>รถสิบล้อ</v>
          </cell>
        </row>
        <row r="13">
          <cell r="A13">
            <v>5</v>
          </cell>
          <cell r="B13" t="str">
            <v>อำเภอเมือง จังหวัดสุรินทร์</v>
          </cell>
          <cell r="C13" t="str">
            <v>หินคลุก</v>
          </cell>
          <cell r="D13">
            <v>250</v>
          </cell>
          <cell r="E13" t="str">
            <v>บาท/ลบ.ม. ขนส่ง</v>
          </cell>
          <cell r="G13">
            <v>207</v>
          </cell>
          <cell r="H13" t="str">
            <v xml:space="preserve">กม.     </v>
          </cell>
          <cell r="I13" t="str">
            <v>=</v>
          </cell>
          <cell r="J13">
            <v>378.15</v>
          </cell>
          <cell r="K13" t="str">
            <v>บาท/ลบ.ม.</v>
          </cell>
          <cell r="L13" t="str">
            <v>รถสิบล้อลากพ่วง</v>
          </cell>
        </row>
        <row r="14">
          <cell r="A14">
            <v>6</v>
          </cell>
          <cell r="B14" t="str">
            <v>อำเภอเมือง จังหวัดสุรินทร์</v>
          </cell>
          <cell r="C14" t="str">
            <v>หินฝุ่น</v>
          </cell>
          <cell r="D14">
            <v>190</v>
          </cell>
          <cell r="E14" t="str">
            <v>บาท/ลบ.ม. ขนส่ง</v>
          </cell>
          <cell r="G14">
            <v>207</v>
          </cell>
          <cell r="H14" t="str">
            <v xml:space="preserve">กม.     </v>
          </cell>
          <cell r="I14" t="str">
            <v>=</v>
          </cell>
          <cell r="J14">
            <v>378.15</v>
          </cell>
          <cell r="K14" t="str">
            <v>บาท/ลบ.ม.</v>
          </cell>
          <cell r="L14" t="str">
            <v>รถสิบล้อลากพ่วง</v>
          </cell>
        </row>
        <row r="15">
          <cell r="A15">
            <v>7</v>
          </cell>
          <cell r="B15" t="str">
            <v>อำเภอเมือง จังหวัดสุรินทร์</v>
          </cell>
          <cell r="C15" t="str">
            <v>หิน  3/4"</v>
          </cell>
          <cell r="D15">
            <v>410</v>
          </cell>
          <cell r="E15" t="str">
            <v>บาท/ลบ.ม. ขนส่ง</v>
          </cell>
          <cell r="G15">
            <v>207</v>
          </cell>
          <cell r="H15" t="str">
            <v xml:space="preserve">กม.     </v>
          </cell>
          <cell r="I15" t="str">
            <v>=</v>
          </cell>
          <cell r="J15">
            <v>378.15</v>
          </cell>
          <cell r="K15" t="str">
            <v>บาท/ลบ.ม.</v>
          </cell>
          <cell r="L15" t="str">
            <v>รถสิบล้อลากพ่วง</v>
          </cell>
        </row>
        <row r="16">
          <cell r="A16">
            <v>8</v>
          </cell>
          <cell r="B16" t="str">
            <v>อำเภอเมือง จังหวัดสุรินทร์</v>
          </cell>
          <cell r="C16" t="str">
            <v xml:space="preserve">หิน  1/2" </v>
          </cell>
          <cell r="D16">
            <v>530</v>
          </cell>
          <cell r="E16" t="str">
            <v>บาท/ลบ.ม. ขนส่ง</v>
          </cell>
          <cell r="G16">
            <v>207</v>
          </cell>
          <cell r="H16" t="str">
            <v xml:space="preserve">กม.     </v>
          </cell>
          <cell r="I16" t="str">
            <v>=</v>
          </cell>
          <cell r="J16">
            <v>378.15</v>
          </cell>
          <cell r="K16" t="str">
            <v>บาท/ลบ.ม.</v>
          </cell>
          <cell r="L16" t="str">
            <v>รถสิบล้อลากพ่วง</v>
          </cell>
        </row>
        <row r="17">
          <cell r="A17">
            <v>9</v>
          </cell>
          <cell r="B17" t="str">
            <v>อำเภอเมือง จังหวัดสุรินทร์</v>
          </cell>
          <cell r="C17" t="str">
            <v xml:space="preserve">หิน  3/8" </v>
          </cell>
          <cell r="D17">
            <v>410</v>
          </cell>
          <cell r="E17" t="str">
            <v>บาท/ลบ.ม. ขนส่ง</v>
          </cell>
          <cell r="G17">
            <v>207</v>
          </cell>
          <cell r="H17" t="str">
            <v xml:space="preserve">กม.     </v>
          </cell>
          <cell r="I17" t="str">
            <v>=</v>
          </cell>
          <cell r="J17">
            <v>378.15</v>
          </cell>
          <cell r="K17" t="str">
            <v>บาท/ลบ.ม.</v>
          </cell>
          <cell r="L17" t="str">
            <v>รถสิบล้อลากพ่วง</v>
          </cell>
        </row>
        <row r="18">
          <cell r="A18">
            <v>10</v>
          </cell>
          <cell r="B18" t="str">
            <v>อำเภอเมือง จังหวัดสุรินทร์</v>
          </cell>
          <cell r="C18" t="str">
            <v>หินผสมคอนกรีต</v>
          </cell>
          <cell r="D18">
            <v>600</v>
          </cell>
          <cell r="E18" t="str">
            <v>บาท/ลบ.ม. ขนส่ง</v>
          </cell>
          <cell r="G18">
            <v>20</v>
          </cell>
          <cell r="H18" t="str">
            <v xml:space="preserve">กม.     </v>
          </cell>
          <cell r="I18" t="str">
            <v>=</v>
          </cell>
          <cell r="J18">
            <v>37.020000000000003</v>
          </cell>
          <cell r="K18" t="str">
            <v>บาท/ลบ.ม.</v>
          </cell>
          <cell r="L18" t="str">
            <v>รถสิบล้อลากพ่วง</v>
          </cell>
        </row>
        <row r="19">
          <cell r="A19">
            <v>11</v>
          </cell>
          <cell r="B19" t="str">
            <v>อำเภอเมือง จังหวัดสุรินทร์</v>
          </cell>
          <cell r="C19" t="str">
            <v>หินผสม AC (48%,15%,27%,10%)</v>
          </cell>
          <cell r="D19">
            <v>336.8</v>
          </cell>
          <cell r="E19" t="str">
            <v>บาท/ลบ.ม. ขนส่ง</v>
          </cell>
          <cell r="G19">
            <v>207</v>
          </cell>
          <cell r="H19" t="str">
            <v xml:space="preserve">กม.     </v>
          </cell>
          <cell r="I19" t="str">
            <v>=</v>
          </cell>
          <cell r="J19">
            <v>378.15</v>
          </cell>
          <cell r="K19" t="str">
            <v>บาท/ลบ.ม.</v>
          </cell>
          <cell r="L19" t="str">
            <v>รถสิบล้อลากพ่วง</v>
          </cell>
        </row>
        <row r="26">
          <cell r="B26" t="str">
            <v>ในสายทาง</v>
          </cell>
          <cell r="C26" t="str">
            <v xml:space="preserve">Hot Mix </v>
          </cell>
          <cell r="E26" t="str">
            <v>บาท/ตัน ขนส่ง</v>
          </cell>
          <cell r="G26">
            <v>1</v>
          </cell>
          <cell r="H26" t="str">
            <v xml:space="preserve">กม.     </v>
          </cell>
          <cell r="I26" t="str">
            <v>=</v>
          </cell>
          <cell r="J26" t="str">
            <v>6.38</v>
          </cell>
          <cell r="K26" t="str">
            <v>บาท/ตัน</v>
          </cell>
          <cell r="L26" t="str">
            <v>รถสิบล้อ</v>
          </cell>
        </row>
        <row r="27">
          <cell r="B27" t="str">
            <v>ในสายทาง</v>
          </cell>
          <cell r="C27" t="str">
            <v xml:space="preserve">Hot Mix </v>
          </cell>
          <cell r="E27" t="str">
            <v>บาท/ตัน ขนส่ง</v>
          </cell>
          <cell r="G27">
            <v>1</v>
          </cell>
          <cell r="H27" t="str">
            <v xml:space="preserve">กม.     </v>
          </cell>
          <cell r="I27" t="str">
            <v>=</v>
          </cell>
          <cell r="J27" t="str">
            <v>6.38</v>
          </cell>
          <cell r="K27" t="str">
            <v>บาท/ตัน</v>
          </cell>
          <cell r="L27" t="str">
            <v>รถสิบล้อ</v>
          </cell>
        </row>
        <row r="28">
          <cell r="B28" t="str">
            <v>อำเภอเมือง มุกดาหาร</v>
          </cell>
          <cell r="C28" t="str">
            <v>ทรายถม</v>
          </cell>
          <cell r="D28">
            <v>200</v>
          </cell>
          <cell r="E28" t="str">
            <v>บาท/ลบ.ม. ขนส่ง</v>
          </cell>
          <cell r="G28">
            <v>20</v>
          </cell>
          <cell r="H28" t="str">
            <v xml:space="preserve">กม.     </v>
          </cell>
          <cell r="I28" t="str">
            <v>=</v>
          </cell>
          <cell r="J28">
            <v>61.32</v>
          </cell>
          <cell r="K28" t="str">
            <v>บาท/ลบ.ม.</v>
          </cell>
          <cell r="L28" t="str">
            <v>รถสิบล้อ</v>
          </cell>
        </row>
        <row r="29">
          <cell r="B29" t="str">
            <v>อำเภอเมือง มุกดาหาร</v>
          </cell>
          <cell r="C29" t="str">
            <v>ทรายหยาบ</v>
          </cell>
          <cell r="D29">
            <v>250</v>
          </cell>
          <cell r="E29" t="str">
            <v>บาท/ลบ.ม. ขนส่ง</v>
          </cell>
          <cell r="G29">
            <v>20</v>
          </cell>
          <cell r="H29" t="str">
            <v xml:space="preserve">กม.     </v>
          </cell>
          <cell r="I29" t="str">
            <v>=</v>
          </cell>
          <cell r="J29">
            <v>61.32</v>
          </cell>
          <cell r="K29" t="str">
            <v>บาท/ลบ.ม.</v>
          </cell>
          <cell r="L29" t="str">
            <v>รถสิบล้อ</v>
          </cell>
        </row>
        <row r="30">
          <cell r="B30" t="str">
            <v>อำเภอเมือง มุกดาหาร</v>
          </cell>
          <cell r="C30" t="str">
            <v>ปูนชีเมนต์</v>
          </cell>
          <cell r="D30">
            <v>2336.4499999999998</v>
          </cell>
          <cell r="E30" t="str">
            <v>บาท/ตัน ขนส่ง</v>
          </cell>
          <cell r="G30">
            <v>20</v>
          </cell>
          <cell r="H30" t="str">
            <v xml:space="preserve">กม.     </v>
          </cell>
          <cell r="I30" t="str">
            <v>=</v>
          </cell>
          <cell r="J30" t="str">
            <v>43.8</v>
          </cell>
          <cell r="K30" t="str">
            <v>บาท/ตัน</v>
          </cell>
          <cell r="L30" t="str">
            <v>รถสิบล้อ</v>
          </cell>
        </row>
        <row r="31">
          <cell r="B31" t="str">
            <v>อำเภอเมือง มุกดาหาร</v>
          </cell>
          <cell r="C31" t="str">
            <v>เหล็กเสริมไวท์เมทต์</v>
          </cell>
          <cell r="D31">
            <v>60</v>
          </cell>
          <cell r="E31" t="str">
            <v>บาท/ตร.ม. ขนส่ง</v>
          </cell>
          <cell r="G31">
            <v>20</v>
          </cell>
          <cell r="H31" t="str">
            <v xml:space="preserve">กม.     </v>
          </cell>
          <cell r="I31" t="str">
            <v>=</v>
          </cell>
          <cell r="J31" t="str">
            <v>43.8</v>
          </cell>
          <cell r="L31" t="str">
            <v>รถสิบล้อ</v>
          </cell>
        </row>
        <row r="32">
          <cell r="B32" t="str">
            <v>อำเภอเมือง มุกดาหาร</v>
          </cell>
          <cell r="D32">
            <v>22314.49</v>
          </cell>
          <cell r="E32" t="str">
            <v>บาท/ตัน ขนส่ง</v>
          </cell>
          <cell r="G32">
            <v>20</v>
          </cell>
          <cell r="H32" t="str">
            <v xml:space="preserve">กม.     </v>
          </cell>
          <cell r="I32" t="str">
            <v>=</v>
          </cell>
          <cell r="J32" t="str">
            <v>43.8</v>
          </cell>
          <cell r="K32" t="str">
            <v>บาท/ตัน</v>
          </cell>
          <cell r="L32" t="str">
            <v>รถสิบล้อ</v>
          </cell>
        </row>
        <row r="33">
          <cell r="B33" t="str">
            <v>อำเภอเมือง มุกดาหาร</v>
          </cell>
          <cell r="D33">
            <v>20601.87</v>
          </cell>
          <cell r="E33" t="str">
            <v>บาท/ตัน ขนส่ง</v>
          </cell>
          <cell r="G33">
            <v>20</v>
          </cell>
          <cell r="H33" t="str">
            <v xml:space="preserve">กม.     </v>
          </cell>
          <cell r="I33" t="str">
            <v>=</v>
          </cell>
          <cell r="J33" t="str">
            <v>43.8</v>
          </cell>
          <cell r="K33" t="str">
            <v>บาท/ตัน</v>
          </cell>
          <cell r="L33" t="str">
            <v>รถสิบล้อ</v>
          </cell>
        </row>
        <row r="34">
          <cell r="B34" t="str">
            <v>อำเภอเมือง มุกดาหาร</v>
          </cell>
          <cell r="D34">
            <v>22099.07</v>
          </cell>
          <cell r="E34" t="str">
            <v>บาท/ตัน ขนส่ง</v>
          </cell>
          <cell r="G34">
            <v>20</v>
          </cell>
          <cell r="H34" t="str">
            <v xml:space="preserve">กม.     </v>
          </cell>
          <cell r="I34" t="str">
            <v>=</v>
          </cell>
          <cell r="J34" t="str">
            <v>43.8</v>
          </cell>
          <cell r="K34" t="str">
            <v>บาท/ตัน</v>
          </cell>
          <cell r="L34" t="str">
            <v>รถสิบล้อ</v>
          </cell>
        </row>
        <row r="35">
          <cell r="B35" t="str">
            <v>อำเภอเมือง มุกดาหาร</v>
          </cell>
          <cell r="D35">
            <v>20859.810000000001</v>
          </cell>
          <cell r="E35" t="str">
            <v>บาท/ตัน ขนส่ง</v>
          </cell>
          <cell r="G35">
            <v>20</v>
          </cell>
          <cell r="H35" t="str">
            <v xml:space="preserve">กม.     </v>
          </cell>
          <cell r="I35" t="str">
            <v>=</v>
          </cell>
          <cell r="J35" t="str">
            <v>43.8</v>
          </cell>
          <cell r="K35" t="str">
            <v>บาท/ตัน</v>
          </cell>
          <cell r="L35" t="str">
            <v>รถสิบล้อ</v>
          </cell>
        </row>
        <row r="36">
          <cell r="B36" t="str">
            <v>อำเภอเมือง มุกดาหาร</v>
          </cell>
          <cell r="D36">
            <v>20738.32</v>
          </cell>
          <cell r="E36" t="str">
            <v>บาท/ตัน ขนส่ง</v>
          </cell>
          <cell r="G36">
            <v>20</v>
          </cell>
          <cell r="H36" t="str">
            <v xml:space="preserve">กม.     </v>
          </cell>
          <cell r="I36" t="str">
            <v>=</v>
          </cell>
          <cell r="J36" t="str">
            <v>43.8</v>
          </cell>
          <cell r="K36" t="str">
            <v>บาท/ตัน</v>
          </cell>
          <cell r="L36" t="str">
            <v>รถสิบล้อ</v>
          </cell>
        </row>
        <row r="37">
          <cell r="B37" t="str">
            <v>อำเภอเมือง มุกดาหาร</v>
          </cell>
          <cell r="D37">
            <v>26495.33</v>
          </cell>
          <cell r="E37" t="str">
            <v>บาท/ตัน ขนส่ง</v>
          </cell>
          <cell r="G37">
            <v>20</v>
          </cell>
          <cell r="H37" t="str">
            <v xml:space="preserve">กม.     </v>
          </cell>
          <cell r="I37" t="str">
            <v>=</v>
          </cell>
          <cell r="J37" t="str">
            <v>43.8</v>
          </cell>
          <cell r="K37" t="str">
            <v>บาท/ตัน</v>
          </cell>
          <cell r="L37" t="str">
            <v>รถสิบล้อ</v>
          </cell>
        </row>
        <row r="38">
          <cell r="B38" t="str">
            <v>อำเภอเมือง มุกดาหาร</v>
          </cell>
          <cell r="D38">
            <v>20489.72</v>
          </cell>
          <cell r="E38" t="str">
            <v>บาท/ตัน ขนส่ง</v>
          </cell>
          <cell r="G38">
            <v>20</v>
          </cell>
          <cell r="H38" t="str">
            <v xml:space="preserve">กม.     </v>
          </cell>
          <cell r="I38" t="str">
            <v>=</v>
          </cell>
          <cell r="J38" t="str">
            <v>43.8</v>
          </cell>
          <cell r="K38" t="str">
            <v>บาท/ตัน</v>
          </cell>
          <cell r="L38" t="str">
            <v>รถสิบล้อ</v>
          </cell>
        </row>
        <row r="39">
          <cell r="B39" t="str">
            <v>อำเภอเมือง มุกดาหาร</v>
          </cell>
          <cell r="D39">
            <v>21869.16</v>
          </cell>
          <cell r="E39" t="str">
            <v>บาท/ตัน ขนส่ง</v>
          </cell>
          <cell r="G39">
            <v>20</v>
          </cell>
          <cell r="H39" t="str">
            <v xml:space="preserve">กม.     </v>
          </cell>
          <cell r="I39" t="str">
            <v>=</v>
          </cell>
          <cell r="J39" t="str">
            <v>43.8</v>
          </cell>
          <cell r="K39" t="str">
            <v>บาท/ตัน</v>
          </cell>
          <cell r="L39" t="str">
            <v>รถสิบล้อ</v>
          </cell>
        </row>
        <row r="40">
          <cell r="B40" t="str">
            <v>อำเภอเมือง มุกดาหาร</v>
          </cell>
          <cell r="D40">
            <v>500</v>
          </cell>
          <cell r="E40" t="str">
            <v>บาท/ท่อน ขนส่ง</v>
          </cell>
          <cell r="G40">
            <v>20</v>
          </cell>
          <cell r="H40" t="str">
            <v xml:space="preserve">กม.     </v>
          </cell>
          <cell r="I40" t="str">
            <v>=</v>
          </cell>
          <cell r="J40" t="str">
            <v>43.8</v>
          </cell>
          <cell r="K40" t="str">
            <v>บาท/ตัน</v>
          </cell>
          <cell r="L40" t="str">
            <v>รถสิบล้อ</v>
          </cell>
        </row>
        <row r="41">
          <cell r="B41" t="str">
            <v>อำเภอเมือง มุกดาหาร</v>
          </cell>
          <cell r="D41">
            <v>700</v>
          </cell>
          <cell r="E41" t="str">
            <v>บาท/ท่อน ขนส่ง</v>
          </cell>
          <cell r="G41">
            <v>20</v>
          </cell>
          <cell r="H41" t="str">
            <v xml:space="preserve">กม.     </v>
          </cell>
          <cell r="I41" t="str">
            <v>=</v>
          </cell>
          <cell r="J41" t="str">
            <v>43.8</v>
          </cell>
          <cell r="K41" t="str">
            <v>บาท/ตัน</v>
          </cell>
          <cell r="L41" t="str">
            <v>รถสิบล้อ</v>
          </cell>
        </row>
        <row r="42">
          <cell r="B42" t="str">
            <v>อำเภอเมือง มุกดาหาร</v>
          </cell>
          <cell r="D42">
            <v>1050</v>
          </cell>
          <cell r="E42" t="str">
            <v>บาท/ท่อน ขนส่ง</v>
          </cell>
          <cell r="G42">
            <v>20</v>
          </cell>
          <cell r="H42" t="str">
            <v xml:space="preserve">กม.     </v>
          </cell>
          <cell r="I42" t="str">
            <v>=</v>
          </cell>
          <cell r="J42" t="str">
            <v>43.8</v>
          </cell>
          <cell r="K42" t="str">
            <v>บาท/ตัน</v>
          </cell>
          <cell r="L42" t="str">
            <v>รถสิบล้อ</v>
          </cell>
        </row>
        <row r="43">
          <cell r="B43" t="str">
            <v>อำเภอเมือง มุกดาหาร</v>
          </cell>
          <cell r="D43">
            <v>1600</v>
          </cell>
          <cell r="E43" t="str">
            <v>บาท/ท่อน ขนส่ง</v>
          </cell>
          <cell r="G43">
            <v>20</v>
          </cell>
          <cell r="H43" t="str">
            <v xml:space="preserve">กม.     </v>
          </cell>
          <cell r="I43" t="str">
            <v>=</v>
          </cell>
          <cell r="J43" t="str">
            <v>43.8</v>
          </cell>
          <cell r="K43" t="str">
            <v>บาท/ตัน</v>
          </cell>
          <cell r="L43" t="str">
            <v>รถสิบล้อ</v>
          </cell>
        </row>
        <row r="44">
          <cell r="B44" t="str">
            <v>อำเภอเมือง มุกดาหาร</v>
          </cell>
          <cell r="D44">
            <v>2350</v>
          </cell>
          <cell r="E44" t="str">
            <v>บาท/ท่อน ขนส่ง</v>
          </cell>
          <cell r="G44">
            <v>20</v>
          </cell>
          <cell r="H44" t="str">
            <v xml:space="preserve">กม.     </v>
          </cell>
          <cell r="I44" t="str">
            <v>=</v>
          </cell>
          <cell r="J44" t="str">
            <v>43.8</v>
          </cell>
          <cell r="K44" t="str">
            <v>บาท/ตัน</v>
          </cell>
          <cell r="L44" t="str">
            <v>รถสิบล้อ</v>
          </cell>
        </row>
        <row r="45">
          <cell r="B45" t="str">
            <v>อำเภอเมือง มุกดาหาร</v>
          </cell>
          <cell r="D45">
            <v>2990</v>
          </cell>
          <cell r="E45" t="str">
            <v>บาท/ท่อน ขนส่ง</v>
          </cell>
          <cell r="G45">
            <v>20</v>
          </cell>
          <cell r="H45" t="str">
            <v xml:space="preserve">กม.     </v>
          </cell>
          <cell r="I45" t="str">
            <v>=</v>
          </cell>
          <cell r="J45" t="str">
            <v>43.8</v>
          </cell>
          <cell r="K45" t="str">
            <v>บาท/ตัน</v>
          </cell>
          <cell r="L45" t="str">
            <v>รถสิบล้อ</v>
          </cell>
        </row>
        <row r="46">
          <cell r="B46" t="str">
            <v>อำเภอเมือง มุกดาหาร</v>
          </cell>
          <cell r="C46" t="str">
            <v>ลวดผูกเหล็ก</v>
          </cell>
          <cell r="D46">
            <v>42.5</v>
          </cell>
          <cell r="E46" t="str">
            <v>บาท/กก.</v>
          </cell>
        </row>
        <row r="47">
          <cell r="B47" t="str">
            <v>อำเภอเมือง มุกดาหาร</v>
          </cell>
          <cell r="C47" t="str">
            <v>ไม้แบบ</v>
          </cell>
          <cell r="D47">
            <v>580</v>
          </cell>
          <cell r="E47" t="str">
            <v>บาท/ลบ.ฟ.</v>
          </cell>
        </row>
        <row r="48">
          <cell r="B48" t="str">
            <v>อำเภอเมือง มุกดาหาร</v>
          </cell>
          <cell r="C48" t="str">
            <v>ไม้อัดยาง หนา 4 มม.</v>
          </cell>
          <cell r="D48">
            <v>215</v>
          </cell>
          <cell r="E48" t="str">
            <v>บาท/ตร.ม.</v>
          </cell>
        </row>
        <row r="49">
          <cell r="B49" t="str">
            <v>อำเภอเมือง มุกดาหาร</v>
          </cell>
          <cell r="C49" t="str">
            <v>ไม้เคร่ารัดแบบ</v>
          </cell>
          <cell r="D49">
            <v>250</v>
          </cell>
          <cell r="E49" t="str">
            <v>บาท/ลบ.ฟ.</v>
          </cell>
        </row>
        <row r="50">
          <cell r="B50" t="str">
            <v>อำเภอเมือง มุกดาหาร</v>
          </cell>
          <cell r="C50" t="str">
            <v>ไม้เนื้อแข็ง</v>
          </cell>
          <cell r="D50">
            <v>1200</v>
          </cell>
          <cell r="E50" t="str">
            <v>บาท/ลบ.ฟ.</v>
          </cell>
        </row>
        <row r="51">
          <cell r="B51" t="str">
            <v>อำเภอเมือง มุกดาหาร</v>
          </cell>
          <cell r="C51" t="str">
            <v xml:space="preserve"> - ค้ำยัน 3" x  3.00 เมตร</v>
          </cell>
          <cell r="D51">
            <v>60</v>
          </cell>
          <cell r="E51" t="str">
            <v>บาท/ต้น</v>
          </cell>
        </row>
        <row r="52">
          <cell r="B52" t="str">
            <v>อำเภอเมือง มุกดาหาร</v>
          </cell>
          <cell r="C52" t="str">
            <v xml:space="preserve"> - ค้ำยัน 4" x  4.00 เมตร</v>
          </cell>
          <cell r="D52">
            <v>85</v>
          </cell>
          <cell r="E52" t="str">
            <v>บาท/ต้น</v>
          </cell>
        </row>
        <row r="53">
          <cell r="B53" t="str">
            <v>อำเภอเมือง มุกดาหาร</v>
          </cell>
          <cell r="C53" t="str">
            <v xml:space="preserve"> - ค้ำยัน 6" x  6.00 เมตร</v>
          </cell>
          <cell r="D53">
            <v>160</v>
          </cell>
          <cell r="E53" t="str">
            <v>บาท/ต้น</v>
          </cell>
        </row>
        <row r="54">
          <cell r="B54" t="str">
            <v>อำเภอเมือง มุกดาหาร</v>
          </cell>
          <cell r="C54" t="str">
            <v>ตะปู</v>
          </cell>
          <cell r="D54">
            <v>40</v>
          </cell>
          <cell r="E54" t="str">
            <v>บาท/กก.</v>
          </cell>
        </row>
        <row r="55">
          <cell r="D55">
            <v>436</v>
          </cell>
        </row>
        <row r="56">
          <cell r="D56">
            <v>398</v>
          </cell>
        </row>
        <row r="57">
          <cell r="D57">
            <v>99</v>
          </cell>
        </row>
        <row r="58">
          <cell r="D58">
            <v>2807</v>
          </cell>
        </row>
        <row r="59">
          <cell r="D59">
            <v>115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8">
          <cell r="G38">
            <v>36517</v>
          </cell>
        </row>
        <row r="39">
          <cell r="G39">
            <v>9634</v>
          </cell>
        </row>
        <row r="40">
          <cell r="G40">
            <v>5288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>
        <row r="3">
          <cell r="B3">
            <v>100</v>
          </cell>
          <cell r="C3">
            <v>0</v>
          </cell>
          <cell r="D3">
            <v>1800</v>
          </cell>
          <cell r="E3">
            <v>5</v>
          </cell>
          <cell r="F3">
            <v>0</v>
          </cell>
          <cell r="G3">
            <v>1800</v>
          </cell>
          <cell r="H3">
            <v>5</v>
          </cell>
          <cell r="I3">
            <v>0</v>
          </cell>
          <cell r="J3">
            <v>0.2</v>
          </cell>
          <cell r="K3">
            <v>3.5</v>
          </cell>
          <cell r="L3">
            <v>2000</v>
          </cell>
          <cell r="M3">
            <v>0.1</v>
          </cell>
          <cell r="N3">
            <v>3</v>
          </cell>
        </row>
      </sheetData>
      <sheetData sheetId="44" refreshError="1"/>
      <sheetData sheetId="45">
        <row r="3">
          <cell r="B3">
            <v>80</v>
          </cell>
          <cell r="C3">
            <v>10</v>
          </cell>
          <cell r="D3">
            <v>400</v>
          </cell>
          <cell r="E3">
            <v>25</v>
          </cell>
          <cell r="F3">
            <v>2</v>
          </cell>
          <cell r="G3">
            <v>22.5</v>
          </cell>
          <cell r="H3">
            <v>7.81</v>
          </cell>
        </row>
      </sheetData>
      <sheetData sheetId="46">
        <row r="7">
          <cell r="G7">
            <v>1.46</v>
          </cell>
          <cell r="H7">
            <v>1.492</v>
          </cell>
        </row>
        <row r="8">
          <cell r="G8">
            <v>3.3</v>
          </cell>
          <cell r="H8">
            <v>3.415</v>
          </cell>
        </row>
        <row r="9">
          <cell r="G9">
            <v>4.99</v>
          </cell>
          <cell r="H9">
            <v>5.1550000000000002</v>
          </cell>
        </row>
        <row r="11">
          <cell r="G11">
            <v>21.669999999999998</v>
          </cell>
          <cell r="H11">
            <v>22.537500000000001</v>
          </cell>
        </row>
        <row r="12">
          <cell r="G12">
            <v>39.01</v>
          </cell>
          <cell r="H12">
            <v>40.99</v>
          </cell>
        </row>
        <row r="14">
          <cell r="G14">
            <v>20.78</v>
          </cell>
          <cell r="H14">
            <v>21.512500000000003</v>
          </cell>
        </row>
        <row r="15">
          <cell r="G15">
            <v>8.2799999999999994</v>
          </cell>
          <cell r="H15">
            <v>8.7050000000000001</v>
          </cell>
        </row>
        <row r="16">
          <cell r="G16">
            <v>32.28</v>
          </cell>
          <cell r="H16">
            <v>33.115000000000002</v>
          </cell>
        </row>
        <row r="17">
          <cell r="G17">
            <v>38.85</v>
          </cell>
          <cell r="H17">
            <v>40.11</v>
          </cell>
        </row>
        <row r="18">
          <cell r="G18">
            <v>55.010000000000005</v>
          </cell>
          <cell r="H18">
            <v>56.175000000000004</v>
          </cell>
        </row>
        <row r="19">
          <cell r="G19">
            <v>76.42</v>
          </cell>
          <cell r="H19">
            <v>81.17</v>
          </cell>
        </row>
        <row r="21">
          <cell r="G21">
            <v>31.65</v>
          </cell>
          <cell r="H21">
            <v>33.24</v>
          </cell>
        </row>
        <row r="23">
          <cell r="G23">
            <v>46.81</v>
          </cell>
          <cell r="H23">
            <v>49.185000000000002</v>
          </cell>
        </row>
        <row r="28">
          <cell r="G28">
            <v>21.02</v>
          </cell>
          <cell r="H28">
            <v>21.747499999999999</v>
          </cell>
        </row>
        <row r="29">
          <cell r="G29">
            <v>74.02000000000001</v>
          </cell>
          <cell r="H29">
            <v>78.795000000000002</v>
          </cell>
        </row>
        <row r="30">
          <cell r="G30">
            <v>7.17</v>
          </cell>
          <cell r="H30">
            <v>7.4950000000000001</v>
          </cell>
        </row>
        <row r="32">
          <cell r="G32">
            <v>9.08</v>
          </cell>
          <cell r="H32">
            <v>9.4574999999999996</v>
          </cell>
        </row>
        <row r="33">
          <cell r="G33">
            <v>11.8</v>
          </cell>
          <cell r="H33">
            <v>12.4175</v>
          </cell>
        </row>
        <row r="34">
          <cell r="G34">
            <v>9.32</v>
          </cell>
          <cell r="H34">
            <v>9.6325000000000003</v>
          </cell>
        </row>
        <row r="35">
          <cell r="G35">
            <v>7.12</v>
          </cell>
          <cell r="H35">
            <v>7.2549999999999999</v>
          </cell>
        </row>
        <row r="36">
          <cell r="G36">
            <v>6.85</v>
          </cell>
          <cell r="H36">
            <v>7.0425000000000004</v>
          </cell>
        </row>
        <row r="38">
          <cell r="G38">
            <v>15.75</v>
          </cell>
          <cell r="H38">
            <v>16.234999999999999</v>
          </cell>
        </row>
        <row r="48">
          <cell r="G48">
            <v>382.78</v>
          </cell>
        </row>
        <row r="52">
          <cell r="G52">
            <v>14.24</v>
          </cell>
        </row>
        <row r="53">
          <cell r="G53">
            <v>11.18</v>
          </cell>
        </row>
        <row r="64">
          <cell r="G64">
            <v>43.76</v>
          </cell>
          <cell r="H64">
            <v>46.517499999999998</v>
          </cell>
        </row>
        <row r="65">
          <cell r="G65">
            <v>40.53</v>
          </cell>
          <cell r="H65">
            <v>41.412500000000001</v>
          </cell>
        </row>
        <row r="69">
          <cell r="G69">
            <v>35</v>
          </cell>
        </row>
        <row r="70">
          <cell r="G70">
            <v>43.739999999999995</v>
          </cell>
        </row>
        <row r="71">
          <cell r="G71">
            <v>58.319999999999993</v>
          </cell>
        </row>
        <row r="72">
          <cell r="G72">
            <v>11.93</v>
          </cell>
          <cell r="H72">
            <v>12.4125</v>
          </cell>
        </row>
        <row r="73">
          <cell r="G73">
            <v>2.6799999999999997</v>
          </cell>
          <cell r="H73">
            <v>2.7699999999999996</v>
          </cell>
        </row>
      </sheetData>
      <sheetData sheetId="47" refreshError="1"/>
      <sheetData sheetId="48" refreshError="1"/>
      <sheetData sheetId="49">
        <row r="66">
          <cell r="D66">
            <v>2.3705508881569224</v>
          </cell>
        </row>
        <row r="69">
          <cell r="D69">
            <v>4.2</v>
          </cell>
        </row>
        <row r="73">
          <cell r="D73">
            <v>6.1756800000000008E-2</v>
          </cell>
        </row>
        <row r="85">
          <cell r="D85">
            <v>2.9560308881569224</v>
          </cell>
        </row>
        <row r="88">
          <cell r="D88">
            <v>5.0999999999999996</v>
          </cell>
        </row>
        <row r="92">
          <cell r="D92">
            <v>7.7842939999999999E-2</v>
          </cell>
        </row>
        <row r="104">
          <cell r="D104">
            <v>3.5826208881569221</v>
          </cell>
        </row>
        <row r="107">
          <cell r="D107">
            <v>5.0999999999999996</v>
          </cell>
        </row>
        <row r="111">
          <cell r="D111">
            <v>9.5474799999999999E-2</v>
          </cell>
        </row>
        <row r="123">
          <cell r="D123">
            <v>4.1060508881569229</v>
          </cell>
        </row>
        <row r="126">
          <cell r="D126">
            <v>6</v>
          </cell>
        </row>
        <row r="130">
          <cell r="D130">
            <v>0.1126757</v>
          </cell>
        </row>
        <row r="142">
          <cell r="D142">
            <v>4.841220888156923</v>
          </cell>
        </row>
        <row r="164">
          <cell r="D164">
            <v>6</v>
          </cell>
        </row>
        <row r="168">
          <cell r="D168">
            <v>0.14765880000000001</v>
          </cell>
        </row>
      </sheetData>
      <sheetData sheetId="50">
        <row r="6">
          <cell r="D6">
            <v>0.4</v>
          </cell>
          <cell r="E6">
            <v>0.06</v>
          </cell>
          <cell r="M6">
            <v>140</v>
          </cell>
          <cell r="N6">
            <v>0.18</v>
          </cell>
        </row>
        <row r="8">
          <cell r="D8">
            <v>0.6</v>
          </cell>
          <cell r="E8">
            <v>7.4999999999999997E-2</v>
          </cell>
          <cell r="M8">
            <v>345</v>
          </cell>
          <cell r="N8">
            <v>0.32</v>
          </cell>
        </row>
        <row r="9">
          <cell r="D9">
            <v>0.8</v>
          </cell>
          <cell r="E9">
            <v>9.5000000000000001E-2</v>
          </cell>
          <cell r="M9">
            <v>421</v>
          </cell>
          <cell r="N9">
            <v>0.5</v>
          </cell>
        </row>
        <row r="10">
          <cell r="D10">
            <v>1</v>
          </cell>
          <cell r="E10">
            <v>0.11</v>
          </cell>
          <cell r="M10">
            <v>510</v>
          </cell>
          <cell r="N10">
            <v>0.75</v>
          </cell>
        </row>
        <row r="11">
          <cell r="D11">
            <v>1.2</v>
          </cell>
          <cell r="E11">
            <v>0.125</v>
          </cell>
          <cell r="M11">
            <v>575</v>
          </cell>
          <cell r="N11">
            <v>1</v>
          </cell>
        </row>
        <row r="13">
          <cell r="D13">
            <v>1.5</v>
          </cell>
          <cell r="E13">
            <v>0.15</v>
          </cell>
          <cell r="M13">
            <v>635</v>
          </cell>
          <cell r="N13">
            <v>1.45</v>
          </cell>
        </row>
      </sheetData>
      <sheetData sheetId="51">
        <row r="5">
          <cell r="B5">
            <v>1</v>
          </cell>
          <cell r="C5" t="str">
            <v>6.38</v>
          </cell>
          <cell r="D5">
            <v>8.93</v>
          </cell>
          <cell r="F5" t="str">
            <v>3.14</v>
          </cell>
          <cell r="G5">
            <v>4.4000000000000004</v>
          </cell>
        </row>
        <row r="6">
          <cell r="B6">
            <v>2</v>
          </cell>
          <cell r="C6" t="str">
            <v>8.03</v>
          </cell>
          <cell r="D6">
            <v>11.24</v>
          </cell>
          <cell r="F6" t="str">
            <v>4.34</v>
          </cell>
          <cell r="G6">
            <v>6.08</v>
          </cell>
        </row>
        <row r="7">
          <cell r="B7">
            <v>3</v>
          </cell>
          <cell r="C7" t="str">
            <v>9.67</v>
          </cell>
          <cell r="D7">
            <v>13.54</v>
          </cell>
          <cell r="F7" t="str">
            <v>5.53</v>
          </cell>
          <cell r="G7">
            <v>7.74</v>
          </cell>
        </row>
        <row r="8">
          <cell r="B8">
            <v>4</v>
          </cell>
          <cell r="C8" t="str">
            <v>11.32</v>
          </cell>
          <cell r="D8">
            <v>15.85</v>
          </cell>
          <cell r="F8" t="str">
            <v>6.73</v>
          </cell>
          <cell r="G8">
            <v>9.42</v>
          </cell>
        </row>
        <row r="9">
          <cell r="B9">
            <v>5</v>
          </cell>
          <cell r="C9" t="str">
            <v>12.97</v>
          </cell>
          <cell r="D9">
            <v>18.16</v>
          </cell>
          <cell r="F9" t="str">
            <v>7.93</v>
          </cell>
          <cell r="G9">
            <v>11.1</v>
          </cell>
        </row>
        <row r="10">
          <cell r="B10">
            <v>6</v>
          </cell>
          <cell r="C10" t="str">
            <v>14.61</v>
          </cell>
          <cell r="D10">
            <v>20.45</v>
          </cell>
          <cell r="F10" t="str">
            <v>9.12</v>
          </cell>
          <cell r="G10">
            <v>12.77</v>
          </cell>
        </row>
        <row r="11">
          <cell r="B11">
            <v>7</v>
          </cell>
          <cell r="C11" t="str">
            <v>16.26</v>
          </cell>
          <cell r="D11">
            <v>22.76</v>
          </cell>
          <cell r="F11" t="str">
            <v>10.32</v>
          </cell>
          <cell r="G11">
            <v>14.45</v>
          </cell>
        </row>
        <row r="12">
          <cell r="B12">
            <v>8</v>
          </cell>
          <cell r="C12" t="str">
            <v>18.09</v>
          </cell>
          <cell r="D12">
            <v>25.33</v>
          </cell>
          <cell r="F12" t="str">
            <v>11.52</v>
          </cell>
          <cell r="G12">
            <v>16.13</v>
          </cell>
        </row>
        <row r="13">
          <cell r="B13">
            <v>9</v>
          </cell>
          <cell r="C13" t="str">
            <v>20.23</v>
          </cell>
          <cell r="D13">
            <v>28.32</v>
          </cell>
          <cell r="F13" t="str">
            <v>12.71</v>
          </cell>
          <cell r="G13">
            <v>17.79</v>
          </cell>
        </row>
        <row r="14">
          <cell r="B14">
            <v>10</v>
          </cell>
          <cell r="C14" t="str">
            <v>22.37</v>
          </cell>
          <cell r="D14">
            <v>31.32</v>
          </cell>
          <cell r="F14" t="str">
            <v>13.91</v>
          </cell>
          <cell r="G14">
            <v>19.47</v>
          </cell>
        </row>
        <row r="15">
          <cell r="B15">
            <v>11</v>
          </cell>
          <cell r="C15" t="str">
            <v>24.51</v>
          </cell>
          <cell r="D15">
            <v>34.31</v>
          </cell>
          <cell r="F15" t="str">
            <v>15.11</v>
          </cell>
          <cell r="G15">
            <v>21.15</v>
          </cell>
        </row>
        <row r="16">
          <cell r="B16">
            <v>12</v>
          </cell>
          <cell r="C16" t="str">
            <v>26.66</v>
          </cell>
          <cell r="D16">
            <v>37.32</v>
          </cell>
          <cell r="F16" t="str">
            <v>16.3</v>
          </cell>
          <cell r="G16">
            <v>22.82</v>
          </cell>
        </row>
        <row r="17">
          <cell r="B17">
            <v>13</v>
          </cell>
          <cell r="C17" t="str">
            <v>28.8</v>
          </cell>
          <cell r="D17">
            <v>40.32</v>
          </cell>
          <cell r="F17" t="str">
            <v>17.5</v>
          </cell>
          <cell r="G17">
            <v>24.5</v>
          </cell>
        </row>
        <row r="18">
          <cell r="B18">
            <v>14</v>
          </cell>
          <cell r="C18" t="str">
            <v>30.94</v>
          </cell>
          <cell r="D18">
            <v>43.32</v>
          </cell>
          <cell r="F18" t="str">
            <v>18.7</v>
          </cell>
          <cell r="G18">
            <v>26.18</v>
          </cell>
        </row>
        <row r="19">
          <cell r="B19">
            <v>15</v>
          </cell>
          <cell r="C19" t="str">
            <v>33.08</v>
          </cell>
          <cell r="D19">
            <v>46.31</v>
          </cell>
          <cell r="F19" t="str">
            <v>19.93</v>
          </cell>
          <cell r="G19">
            <v>27.9</v>
          </cell>
        </row>
        <row r="20">
          <cell r="B20">
            <v>16</v>
          </cell>
          <cell r="C20" t="str">
            <v>35.23</v>
          </cell>
          <cell r="D20">
            <v>49.32</v>
          </cell>
          <cell r="F20" t="str">
            <v>21.23</v>
          </cell>
          <cell r="G20">
            <v>29.72</v>
          </cell>
        </row>
        <row r="21">
          <cell r="B21">
            <v>17</v>
          </cell>
          <cell r="C21" t="str">
            <v>37.37</v>
          </cell>
          <cell r="D21">
            <v>52.32</v>
          </cell>
          <cell r="F21" t="str">
            <v>22.53</v>
          </cell>
          <cell r="G21">
            <v>31.54</v>
          </cell>
        </row>
        <row r="22">
          <cell r="B22">
            <v>18</v>
          </cell>
          <cell r="C22" t="str">
            <v>39.51</v>
          </cell>
          <cell r="D22">
            <v>55.31</v>
          </cell>
          <cell r="F22" t="str">
            <v>23.84</v>
          </cell>
          <cell r="G22">
            <v>33.380000000000003</v>
          </cell>
        </row>
        <row r="23">
          <cell r="B23">
            <v>19</v>
          </cell>
          <cell r="C23" t="str">
            <v>41.66</v>
          </cell>
          <cell r="D23">
            <v>58.32</v>
          </cell>
          <cell r="F23" t="str">
            <v>25.14</v>
          </cell>
          <cell r="G23">
            <v>35.200000000000003</v>
          </cell>
        </row>
        <row r="24">
          <cell r="B24">
            <v>20</v>
          </cell>
          <cell r="C24" t="str">
            <v>43.8</v>
          </cell>
          <cell r="D24">
            <v>61.32</v>
          </cell>
          <cell r="F24" t="str">
            <v>26.44</v>
          </cell>
          <cell r="G24">
            <v>37.020000000000003</v>
          </cell>
        </row>
        <row r="25">
          <cell r="B25">
            <v>21</v>
          </cell>
          <cell r="C25" t="str">
            <v>45.94</v>
          </cell>
          <cell r="D25">
            <v>64.319999999999993</v>
          </cell>
          <cell r="F25" t="str">
            <v>27.75</v>
          </cell>
          <cell r="G25">
            <v>38.85</v>
          </cell>
        </row>
        <row r="26">
          <cell r="B26">
            <v>22</v>
          </cell>
          <cell r="C26" t="str">
            <v>48.09</v>
          </cell>
          <cell r="D26">
            <v>67.33</v>
          </cell>
          <cell r="F26" t="str">
            <v>29.05</v>
          </cell>
          <cell r="G26">
            <v>40.67</v>
          </cell>
        </row>
        <row r="27">
          <cell r="B27">
            <v>23</v>
          </cell>
          <cell r="C27" t="str">
            <v>50.22</v>
          </cell>
          <cell r="D27">
            <v>70.31</v>
          </cell>
          <cell r="F27" t="str">
            <v>30.35</v>
          </cell>
          <cell r="G27">
            <v>42.49</v>
          </cell>
        </row>
        <row r="28">
          <cell r="B28">
            <v>24</v>
          </cell>
          <cell r="C28" t="str">
            <v>52.37</v>
          </cell>
          <cell r="D28">
            <v>73.319999999999993</v>
          </cell>
          <cell r="F28" t="str">
            <v>31.65</v>
          </cell>
          <cell r="G28">
            <v>44.31</v>
          </cell>
        </row>
        <row r="29">
          <cell r="B29">
            <v>25</v>
          </cell>
          <cell r="C29" t="str">
            <v>54.52</v>
          </cell>
          <cell r="D29">
            <v>76.33</v>
          </cell>
          <cell r="F29" t="str">
            <v>32.96</v>
          </cell>
          <cell r="G29">
            <v>46.14</v>
          </cell>
        </row>
        <row r="30">
          <cell r="B30">
            <v>26</v>
          </cell>
          <cell r="C30" t="str">
            <v>56.66</v>
          </cell>
          <cell r="D30">
            <v>79.319999999999993</v>
          </cell>
          <cell r="F30" t="str">
            <v>34.26</v>
          </cell>
          <cell r="G30">
            <v>47.96</v>
          </cell>
        </row>
        <row r="31">
          <cell r="B31">
            <v>27</v>
          </cell>
          <cell r="C31" t="str">
            <v>58.8</v>
          </cell>
          <cell r="D31">
            <v>82.32</v>
          </cell>
          <cell r="F31" t="str">
            <v>35.56</v>
          </cell>
          <cell r="G31">
            <v>49.78</v>
          </cell>
        </row>
        <row r="32">
          <cell r="B32">
            <v>28</v>
          </cell>
          <cell r="C32" t="str">
            <v>60.95</v>
          </cell>
          <cell r="D32">
            <v>85.33</v>
          </cell>
          <cell r="F32" t="str">
            <v>36.87</v>
          </cell>
          <cell r="G32">
            <v>51.62</v>
          </cell>
        </row>
        <row r="33">
          <cell r="B33">
            <v>29</v>
          </cell>
          <cell r="C33" t="str">
            <v>63.08</v>
          </cell>
          <cell r="D33">
            <v>88.31</v>
          </cell>
          <cell r="F33" t="str">
            <v>38.17</v>
          </cell>
          <cell r="G33">
            <v>53.44</v>
          </cell>
        </row>
        <row r="34">
          <cell r="B34">
            <v>30</v>
          </cell>
          <cell r="C34" t="str">
            <v>65.23</v>
          </cell>
          <cell r="D34">
            <v>91.32</v>
          </cell>
          <cell r="F34" t="str">
            <v>39.47</v>
          </cell>
          <cell r="G34">
            <v>55.26</v>
          </cell>
        </row>
        <row r="35">
          <cell r="B35">
            <v>31</v>
          </cell>
          <cell r="C35" t="str">
            <v>67.36</v>
          </cell>
          <cell r="D35">
            <v>94.3</v>
          </cell>
          <cell r="F35" t="str">
            <v>40.77</v>
          </cell>
          <cell r="G35">
            <v>57.08</v>
          </cell>
        </row>
        <row r="36">
          <cell r="B36">
            <v>32</v>
          </cell>
          <cell r="C36" t="str">
            <v>69.52</v>
          </cell>
          <cell r="D36">
            <v>97.33</v>
          </cell>
          <cell r="F36" t="str">
            <v>42.08</v>
          </cell>
          <cell r="G36">
            <v>58.91</v>
          </cell>
        </row>
        <row r="37">
          <cell r="B37">
            <v>33</v>
          </cell>
          <cell r="C37" t="str">
            <v>71.66</v>
          </cell>
          <cell r="D37">
            <v>100.32</v>
          </cell>
          <cell r="F37" t="str">
            <v>43.38</v>
          </cell>
          <cell r="G37">
            <v>60.73</v>
          </cell>
        </row>
        <row r="38">
          <cell r="B38">
            <v>34</v>
          </cell>
          <cell r="C38" t="str">
            <v>73.8</v>
          </cell>
          <cell r="D38">
            <v>103.32</v>
          </cell>
          <cell r="F38" t="str">
            <v>44.68</v>
          </cell>
          <cell r="G38">
            <v>62.55</v>
          </cell>
        </row>
        <row r="39">
          <cell r="B39">
            <v>35</v>
          </cell>
          <cell r="C39" t="str">
            <v>75.94</v>
          </cell>
          <cell r="D39">
            <v>106.32</v>
          </cell>
          <cell r="F39" t="str">
            <v>45.98</v>
          </cell>
          <cell r="G39">
            <v>64.37</v>
          </cell>
        </row>
        <row r="40">
          <cell r="B40">
            <v>36</v>
          </cell>
          <cell r="C40" t="str">
            <v>78.08</v>
          </cell>
          <cell r="D40">
            <v>109.31</v>
          </cell>
          <cell r="F40" t="str">
            <v>47.29</v>
          </cell>
          <cell r="G40">
            <v>66.209999999999994</v>
          </cell>
        </row>
        <row r="41">
          <cell r="B41">
            <v>37</v>
          </cell>
          <cell r="C41" t="str">
            <v>80.23</v>
          </cell>
          <cell r="D41">
            <v>112.32</v>
          </cell>
          <cell r="F41" t="str">
            <v>48.59</v>
          </cell>
          <cell r="G41">
            <v>68.03</v>
          </cell>
        </row>
        <row r="42">
          <cell r="B42">
            <v>38</v>
          </cell>
          <cell r="C42" t="str">
            <v>82.38</v>
          </cell>
          <cell r="D42">
            <v>115.33</v>
          </cell>
          <cell r="F42" t="str">
            <v>49.89</v>
          </cell>
          <cell r="G42">
            <v>69.849999999999994</v>
          </cell>
        </row>
        <row r="43">
          <cell r="B43">
            <v>39</v>
          </cell>
          <cell r="C43" t="str">
            <v>84.52</v>
          </cell>
          <cell r="D43">
            <v>118.33</v>
          </cell>
          <cell r="F43" t="str">
            <v>51.2</v>
          </cell>
          <cell r="G43">
            <v>71.680000000000007</v>
          </cell>
        </row>
        <row r="44">
          <cell r="B44">
            <v>40</v>
          </cell>
          <cell r="C44" t="str">
            <v>86.66</v>
          </cell>
          <cell r="D44">
            <v>121.32</v>
          </cell>
          <cell r="F44" t="str">
            <v>52.5</v>
          </cell>
          <cell r="G44">
            <v>73.5</v>
          </cell>
        </row>
        <row r="45">
          <cell r="B45">
            <v>41</v>
          </cell>
          <cell r="C45" t="str">
            <v>88.81</v>
          </cell>
          <cell r="D45">
            <v>124.33</v>
          </cell>
          <cell r="F45" t="str">
            <v>53.8</v>
          </cell>
          <cell r="G45">
            <v>75.319999999999993</v>
          </cell>
        </row>
        <row r="46">
          <cell r="B46">
            <v>42</v>
          </cell>
          <cell r="C46" t="str">
            <v>90.95</v>
          </cell>
          <cell r="D46">
            <v>127.33</v>
          </cell>
          <cell r="F46" t="str">
            <v>55.11</v>
          </cell>
          <cell r="G46">
            <v>77.150000000000006</v>
          </cell>
        </row>
        <row r="47">
          <cell r="B47">
            <v>43</v>
          </cell>
          <cell r="C47" t="str">
            <v>93.09</v>
          </cell>
          <cell r="D47">
            <v>130.33000000000001</v>
          </cell>
          <cell r="F47" t="str">
            <v>56.4</v>
          </cell>
          <cell r="G47">
            <v>78.959999999999994</v>
          </cell>
        </row>
        <row r="48">
          <cell r="B48">
            <v>44</v>
          </cell>
          <cell r="C48" t="str">
            <v>95.23</v>
          </cell>
          <cell r="D48">
            <v>133.32</v>
          </cell>
          <cell r="F48" t="str">
            <v>57.71</v>
          </cell>
          <cell r="G48">
            <v>80.790000000000006</v>
          </cell>
        </row>
        <row r="49">
          <cell r="B49">
            <v>45</v>
          </cell>
          <cell r="C49" t="str">
            <v>97.37</v>
          </cell>
          <cell r="D49">
            <v>136.32</v>
          </cell>
          <cell r="F49" t="str">
            <v>59.01</v>
          </cell>
          <cell r="G49">
            <v>82.61</v>
          </cell>
        </row>
        <row r="50">
          <cell r="B50">
            <v>46</v>
          </cell>
          <cell r="C50" t="str">
            <v>99.52</v>
          </cell>
          <cell r="D50">
            <v>139.33000000000001</v>
          </cell>
          <cell r="F50" t="str">
            <v>60.32</v>
          </cell>
          <cell r="G50">
            <v>84.45</v>
          </cell>
        </row>
        <row r="51">
          <cell r="B51">
            <v>47</v>
          </cell>
          <cell r="C51" t="str">
            <v>101.66</v>
          </cell>
          <cell r="D51">
            <v>142.32</v>
          </cell>
          <cell r="F51" t="str">
            <v>61.62</v>
          </cell>
          <cell r="G51">
            <v>86.27</v>
          </cell>
        </row>
        <row r="52">
          <cell r="B52">
            <v>48</v>
          </cell>
          <cell r="C52" t="str">
            <v>103.8</v>
          </cell>
          <cell r="D52">
            <v>145.32</v>
          </cell>
          <cell r="F52" t="str">
            <v>62.92</v>
          </cell>
          <cell r="G52">
            <v>88.09</v>
          </cell>
        </row>
        <row r="53">
          <cell r="B53">
            <v>49</v>
          </cell>
          <cell r="C53" t="str">
            <v>105.93</v>
          </cell>
          <cell r="D53">
            <v>148.30000000000001</v>
          </cell>
          <cell r="F53" t="str">
            <v>64.22</v>
          </cell>
          <cell r="G53">
            <v>89.91</v>
          </cell>
        </row>
        <row r="54">
          <cell r="B54">
            <v>50</v>
          </cell>
          <cell r="C54" t="str">
            <v>108.07</v>
          </cell>
          <cell r="D54">
            <v>151.30000000000001</v>
          </cell>
          <cell r="F54" t="str">
            <v>65.53</v>
          </cell>
          <cell r="G54">
            <v>91.74</v>
          </cell>
        </row>
        <row r="55">
          <cell r="B55">
            <v>51</v>
          </cell>
          <cell r="C55" t="str">
            <v>110.23</v>
          </cell>
          <cell r="D55">
            <v>154.32</v>
          </cell>
          <cell r="F55" t="str">
            <v>66.83</v>
          </cell>
          <cell r="G55">
            <v>93.56</v>
          </cell>
        </row>
        <row r="56">
          <cell r="B56">
            <v>52</v>
          </cell>
          <cell r="C56" t="str">
            <v>112.36</v>
          </cell>
          <cell r="D56">
            <v>157.30000000000001</v>
          </cell>
          <cell r="F56" t="str">
            <v>68.13</v>
          </cell>
          <cell r="G56">
            <v>95.38</v>
          </cell>
        </row>
        <row r="57">
          <cell r="B57">
            <v>53</v>
          </cell>
          <cell r="C57" t="str">
            <v>114.51</v>
          </cell>
          <cell r="D57">
            <v>160.31</v>
          </cell>
          <cell r="F57" t="str">
            <v>69.43</v>
          </cell>
          <cell r="G57">
            <v>97.2</v>
          </cell>
        </row>
        <row r="58">
          <cell r="B58">
            <v>54</v>
          </cell>
          <cell r="C58" t="str">
            <v>116.66</v>
          </cell>
          <cell r="D58">
            <v>163.32</v>
          </cell>
          <cell r="F58" t="str">
            <v>70.73</v>
          </cell>
          <cell r="G58">
            <v>99.02</v>
          </cell>
        </row>
        <row r="59">
          <cell r="B59">
            <v>55</v>
          </cell>
          <cell r="C59" t="str">
            <v>118.79</v>
          </cell>
          <cell r="D59">
            <v>166.31</v>
          </cell>
          <cell r="F59" t="str">
            <v>72.04</v>
          </cell>
          <cell r="G59">
            <v>100.86</v>
          </cell>
        </row>
        <row r="60">
          <cell r="B60">
            <v>56</v>
          </cell>
          <cell r="C60" t="str">
            <v>120.93</v>
          </cell>
          <cell r="D60">
            <v>169.3</v>
          </cell>
          <cell r="F60" t="str">
            <v>73.34</v>
          </cell>
          <cell r="G60">
            <v>102.68</v>
          </cell>
        </row>
        <row r="61">
          <cell r="B61">
            <v>57</v>
          </cell>
          <cell r="C61" t="str">
            <v>123.08</v>
          </cell>
          <cell r="D61">
            <v>172.31</v>
          </cell>
          <cell r="F61" t="str">
            <v>74.64</v>
          </cell>
          <cell r="G61">
            <v>104.5</v>
          </cell>
        </row>
        <row r="62">
          <cell r="B62">
            <v>58</v>
          </cell>
          <cell r="C62" t="str">
            <v>125.24</v>
          </cell>
          <cell r="D62">
            <v>175.34</v>
          </cell>
          <cell r="F62" t="str">
            <v>75.94</v>
          </cell>
          <cell r="G62">
            <v>106.32</v>
          </cell>
        </row>
        <row r="63">
          <cell r="B63">
            <v>59</v>
          </cell>
          <cell r="C63" t="str">
            <v>127.37</v>
          </cell>
          <cell r="D63">
            <v>178.32</v>
          </cell>
          <cell r="F63" t="str">
            <v>77.25</v>
          </cell>
          <cell r="G63">
            <v>108.15</v>
          </cell>
        </row>
        <row r="64">
          <cell r="B64">
            <v>60</v>
          </cell>
          <cell r="C64" t="str">
            <v>129.51</v>
          </cell>
          <cell r="D64">
            <v>181.31</v>
          </cell>
          <cell r="F64" t="str">
            <v>78.56</v>
          </cell>
          <cell r="G64">
            <v>109.98</v>
          </cell>
        </row>
        <row r="65">
          <cell r="B65">
            <v>61</v>
          </cell>
          <cell r="C65" t="str">
            <v>131.66</v>
          </cell>
          <cell r="D65">
            <v>184.32</v>
          </cell>
          <cell r="F65" t="str">
            <v>79.86</v>
          </cell>
          <cell r="G65">
            <v>111.8</v>
          </cell>
        </row>
        <row r="66">
          <cell r="B66">
            <v>62</v>
          </cell>
          <cell r="C66" t="str">
            <v>133.83</v>
          </cell>
          <cell r="D66">
            <v>187.36</v>
          </cell>
          <cell r="F66" t="str">
            <v>81.16</v>
          </cell>
          <cell r="G66">
            <v>113.62</v>
          </cell>
        </row>
        <row r="67">
          <cell r="B67">
            <v>63</v>
          </cell>
          <cell r="C67" t="str">
            <v>135.95</v>
          </cell>
          <cell r="D67">
            <v>190.33</v>
          </cell>
          <cell r="F67" t="str">
            <v>82.46</v>
          </cell>
          <cell r="G67">
            <v>115.44</v>
          </cell>
        </row>
        <row r="68">
          <cell r="B68">
            <v>64</v>
          </cell>
          <cell r="C68" t="str">
            <v>138.08</v>
          </cell>
          <cell r="D68">
            <v>193.31</v>
          </cell>
          <cell r="F68" t="str">
            <v>83.77</v>
          </cell>
          <cell r="G68">
            <v>117.28</v>
          </cell>
        </row>
        <row r="69">
          <cell r="B69">
            <v>65</v>
          </cell>
          <cell r="C69" t="str">
            <v>140.22</v>
          </cell>
          <cell r="D69">
            <v>196.31</v>
          </cell>
          <cell r="F69" t="str">
            <v>85.06</v>
          </cell>
          <cell r="G69">
            <v>119.08</v>
          </cell>
        </row>
        <row r="70">
          <cell r="B70">
            <v>66</v>
          </cell>
          <cell r="C70" t="str">
            <v>142.37</v>
          </cell>
          <cell r="D70">
            <v>199.32</v>
          </cell>
          <cell r="F70" t="str">
            <v>86.37</v>
          </cell>
          <cell r="G70">
            <v>120.92</v>
          </cell>
        </row>
        <row r="71">
          <cell r="B71">
            <v>67</v>
          </cell>
          <cell r="C71" t="str">
            <v>144.53</v>
          </cell>
          <cell r="D71">
            <v>202.34</v>
          </cell>
          <cell r="F71" t="str">
            <v>87.67</v>
          </cell>
          <cell r="G71">
            <v>122.74</v>
          </cell>
        </row>
        <row r="72">
          <cell r="B72">
            <v>68</v>
          </cell>
          <cell r="C72" t="str">
            <v>146.64</v>
          </cell>
          <cell r="D72">
            <v>205.3</v>
          </cell>
          <cell r="F72" t="str">
            <v>88.97</v>
          </cell>
          <cell r="G72">
            <v>124.56</v>
          </cell>
        </row>
        <row r="73">
          <cell r="B73">
            <v>69</v>
          </cell>
          <cell r="C73" t="str">
            <v>148.82</v>
          </cell>
          <cell r="D73">
            <v>208.35</v>
          </cell>
          <cell r="F73" t="str">
            <v>90.27</v>
          </cell>
          <cell r="G73">
            <v>126.38</v>
          </cell>
        </row>
        <row r="74">
          <cell r="B74">
            <v>70</v>
          </cell>
          <cell r="C74" t="str">
            <v>150.94</v>
          </cell>
          <cell r="D74">
            <v>211.32</v>
          </cell>
          <cell r="F74" t="str">
            <v>91.58</v>
          </cell>
          <cell r="G74">
            <v>128.21</v>
          </cell>
        </row>
        <row r="75">
          <cell r="B75">
            <v>71</v>
          </cell>
          <cell r="C75" t="str">
            <v>153.08</v>
          </cell>
          <cell r="D75">
            <v>214.31</v>
          </cell>
          <cell r="F75" t="str">
            <v>92.89</v>
          </cell>
          <cell r="G75">
            <v>130.05000000000001</v>
          </cell>
        </row>
        <row r="76">
          <cell r="B76">
            <v>72</v>
          </cell>
          <cell r="C76" t="str">
            <v>155.22</v>
          </cell>
          <cell r="D76">
            <v>217.31</v>
          </cell>
          <cell r="F76" t="str">
            <v>94.19</v>
          </cell>
          <cell r="G76">
            <v>131.87</v>
          </cell>
        </row>
        <row r="77">
          <cell r="B77">
            <v>73</v>
          </cell>
          <cell r="C77" t="str">
            <v>157.38</v>
          </cell>
          <cell r="D77">
            <v>220.33</v>
          </cell>
          <cell r="F77" t="str">
            <v>95.49</v>
          </cell>
          <cell r="G77">
            <v>133.69</v>
          </cell>
        </row>
        <row r="78">
          <cell r="B78">
            <v>74</v>
          </cell>
          <cell r="C78" t="str">
            <v>159.54</v>
          </cell>
          <cell r="D78">
            <v>223.36</v>
          </cell>
          <cell r="F78" t="str">
            <v>96.8</v>
          </cell>
          <cell r="G78">
            <v>135.52000000000001</v>
          </cell>
        </row>
        <row r="79">
          <cell r="B79">
            <v>75</v>
          </cell>
          <cell r="C79" t="str">
            <v>161.64</v>
          </cell>
          <cell r="D79">
            <v>226.3</v>
          </cell>
          <cell r="F79" t="str">
            <v>98.1</v>
          </cell>
          <cell r="G79">
            <v>137.34</v>
          </cell>
        </row>
        <row r="80">
          <cell r="B80">
            <v>76</v>
          </cell>
          <cell r="C80" t="str">
            <v>163.82</v>
          </cell>
          <cell r="D80">
            <v>229.35</v>
          </cell>
          <cell r="F80" t="str">
            <v>99.4</v>
          </cell>
          <cell r="G80">
            <v>139.16</v>
          </cell>
        </row>
        <row r="81">
          <cell r="B81">
            <v>77</v>
          </cell>
          <cell r="C81" t="str">
            <v>165.94</v>
          </cell>
          <cell r="D81">
            <v>232.32</v>
          </cell>
          <cell r="F81" t="str">
            <v>100.7</v>
          </cell>
          <cell r="G81">
            <v>140.97999999999999</v>
          </cell>
        </row>
        <row r="82">
          <cell r="B82">
            <v>78</v>
          </cell>
          <cell r="C82" t="str">
            <v>168.06</v>
          </cell>
          <cell r="D82">
            <v>235.28</v>
          </cell>
          <cell r="F82" t="str">
            <v>102</v>
          </cell>
          <cell r="G82">
            <v>142.80000000000001</v>
          </cell>
        </row>
        <row r="83">
          <cell r="B83">
            <v>79</v>
          </cell>
          <cell r="C83" t="str">
            <v>170.27</v>
          </cell>
          <cell r="D83">
            <v>238.38</v>
          </cell>
          <cell r="F83" t="str">
            <v>103.31</v>
          </cell>
          <cell r="G83">
            <v>144.63</v>
          </cell>
        </row>
        <row r="84">
          <cell r="B84">
            <v>80</v>
          </cell>
          <cell r="C84" t="str">
            <v>172.41</v>
          </cell>
          <cell r="D84">
            <v>241.37</v>
          </cell>
          <cell r="F84" t="str">
            <v>104.61</v>
          </cell>
          <cell r="G84">
            <v>146.44999999999999</v>
          </cell>
        </row>
        <row r="85">
          <cell r="B85">
            <v>81</v>
          </cell>
          <cell r="C85" t="str">
            <v>174.56</v>
          </cell>
          <cell r="D85">
            <v>244.38</v>
          </cell>
          <cell r="F85" t="str">
            <v>105.92</v>
          </cell>
          <cell r="G85">
            <v>148.29</v>
          </cell>
        </row>
        <row r="86">
          <cell r="B86">
            <v>82</v>
          </cell>
          <cell r="C86" t="str">
            <v>176.63</v>
          </cell>
          <cell r="D86">
            <v>247.28</v>
          </cell>
          <cell r="F86" t="str">
            <v>107.21</v>
          </cell>
          <cell r="G86">
            <v>150.09</v>
          </cell>
        </row>
        <row r="87">
          <cell r="B87">
            <v>83</v>
          </cell>
          <cell r="C87" t="str">
            <v>178.79</v>
          </cell>
          <cell r="D87">
            <v>250.31</v>
          </cell>
          <cell r="F87" t="str">
            <v>108.53</v>
          </cell>
          <cell r="G87">
            <v>151.94</v>
          </cell>
        </row>
        <row r="88">
          <cell r="B88">
            <v>84</v>
          </cell>
          <cell r="C88" t="str">
            <v>180.96</v>
          </cell>
          <cell r="D88">
            <v>253.34</v>
          </cell>
          <cell r="F88" t="str">
            <v>109.82</v>
          </cell>
          <cell r="G88">
            <v>153.75</v>
          </cell>
        </row>
        <row r="89">
          <cell r="B89">
            <v>85</v>
          </cell>
          <cell r="C89" t="str">
            <v>183.14</v>
          </cell>
          <cell r="D89">
            <v>256.39999999999998</v>
          </cell>
          <cell r="F89" t="str">
            <v>111.13</v>
          </cell>
          <cell r="G89">
            <v>155.58000000000001</v>
          </cell>
        </row>
        <row r="90">
          <cell r="B90">
            <v>86</v>
          </cell>
          <cell r="C90" t="str">
            <v>185.24</v>
          </cell>
          <cell r="D90">
            <v>259.33999999999997</v>
          </cell>
          <cell r="F90" t="str">
            <v>112.43</v>
          </cell>
          <cell r="G90">
            <v>157.4</v>
          </cell>
        </row>
        <row r="91">
          <cell r="B91">
            <v>87</v>
          </cell>
          <cell r="C91" t="str">
            <v>187.34</v>
          </cell>
          <cell r="D91">
            <v>262.27999999999997</v>
          </cell>
          <cell r="F91" t="str">
            <v>113.73</v>
          </cell>
          <cell r="G91">
            <v>159.22</v>
          </cell>
        </row>
        <row r="92">
          <cell r="B92">
            <v>88</v>
          </cell>
          <cell r="C92" t="str">
            <v>189.54</v>
          </cell>
          <cell r="D92">
            <v>265.36</v>
          </cell>
          <cell r="F92" t="str">
            <v>115.03</v>
          </cell>
          <cell r="G92">
            <v>161.04</v>
          </cell>
        </row>
        <row r="93">
          <cell r="B93">
            <v>89</v>
          </cell>
          <cell r="C93" t="str">
            <v>191.66</v>
          </cell>
          <cell r="D93">
            <v>268.32</v>
          </cell>
          <cell r="F93" t="str">
            <v>116.33</v>
          </cell>
          <cell r="G93">
            <v>162.86000000000001</v>
          </cell>
        </row>
        <row r="94">
          <cell r="B94">
            <v>90</v>
          </cell>
          <cell r="C94" t="str">
            <v>193.78</v>
          </cell>
          <cell r="D94">
            <v>271.29000000000002</v>
          </cell>
          <cell r="F94" t="str">
            <v>117.65</v>
          </cell>
          <cell r="G94">
            <v>164.71</v>
          </cell>
        </row>
        <row r="95">
          <cell r="B95">
            <v>91</v>
          </cell>
          <cell r="C95" t="str">
            <v>196.01</v>
          </cell>
          <cell r="D95">
            <v>274.41000000000003</v>
          </cell>
          <cell r="F95" t="str">
            <v>118.96</v>
          </cell>
          <cell r="G95">
            <v>166.54</v>
          </cell>
        </row>
        <row r="96">
          <cell r="B96">
            <v>92</v>
          </cell>
          <cell r="C96" t="str">
            <v>198.15</v>
          </cell>
          <cell r="D96">
            <v>277.41000000000003</v>
          </cell>
          <cell r="F96" t="str">
            <v>120.24</v>
          </cell>
          <cell r="G96">
            <v>168.34</v>
          </cell>
        </row>
        <row r="97">
          <cell r="B97">
            <v>93</v>
          </cell>
          <cell r="C97" t="str">
            <v>200.29</v>
          </cell>
          <cell r="D97">
            <v>280.41000000000003</v>
          </cell>
          <cell r="F97" t="str">
            <v>121.54</v>
          </cell>
          <cell r="G97">
            <v>170.16</v>
          </cell>
        </row>
        <row r="98">
          <cell r="B98">
            <v>94</v>
          </cell>
          <cell r="C98" t="str">
            <v>202.44</v>
          </cell>
          <cell r="D98">
            <v>283.42</v>
          </cell>
          <cell r="F98" t="str">
            <v>122.85</v>
          </cell>
          <cell r="G98">
            <v>171.99</v>
          </cell>
        </row>
        <row r="99">
          <cell r="B99">
            <v>95</v>
          </cell>
          <cell r="C99" t="str">
            <v>204.48</v>
          </cell>
          <cell r="D99">
            <v>286.27</v>
          </cell>
          <cell r="F99" t="str">
            <v>124.16</v>
          </cell>
          <cell r="G99">
            <v>173.82</v>
          </cell>
        </row>
        <row r="100">
          <cell r="B100">
            <v>96</v>
          </cell>
          <cell r="C100" t="str">
            <v>206.64</v>
          </cell>
          <cell r="D100">
            <v>289.3</v>
          </cell>
          <cell r="F100" t="str">
            <v>125.47</v>
          </cell>
          <cell r="G100">
            <v>175.66</v>
          </cell>
        </row>
        <row r="101">
          <cell r="B101">
            <v>97</v>
          </cell>
          <cell r="C101" t="str">
            <v>208.81</v>
          </cell>
          <cell r="D101">
            <v>292.33</v>
          </cell>
          <cell r="F101" t="str">
            <v>126.76</v>
          </cell>
          <cell r="G101">
            <v>177.46</v>
          </cell>
        </row>
        <row r="102">
          <cell r="B102">
            <v>98</v>
          </cell>
          <cell r="C102" t="str">
            <v>210.98</v>
          </cell>
          <cell r="D102">
            <v>295.37</v>
          </cell>
          <cell r="F102" t="str">
            <v>128.07</v>
          </cell>
          <cell r="G102">
            <v>179.3</v>
          </cell>
        </row>
        <row r="103">
          <cell r="B103">
            <v>99</v>
          </cell>
          <cell r="C103" t="str">
            <v>213.17</v>
          </cell>
          <cell r="D103">
            <v>298.44</v>
          </cell>
          <cell r="F103" t="str">
            <v>129.36</v>
          </cell>
          <cell r="G103">
            <v>181.1</v>
          </cell>
        </row>
        <row r="104">
          <cell r="B104">
            <v>100</v>
          </cell>
          <cell r="C104" t="str">
            <v>215.23</v>
          </cell>
          <cell r="D104">
            <v>301.32</v>
          </cell>
          <cell r="F104" t="str">
            <v>130.68</v>
          </cell>
          <cell r="G104">
            <v>182.95</v>
          </cell>
        </row>
        <row r="105">
          <cell r="B105">
            <v>101</v>
          </cell>
          <cell r="C105" t="str">
            <v>217.43</v>
          </cell>
          <cell r="D105">
            <v>304.39999999999998</v>
          </cell>
          <cell r="F105" t="str">
            <v>131.96</v>
          </cell>
          <cell r="G105">
            <v>184.74</v>
          </cell>
        </row>
        <row r="106">
          <cell r="B106">
            <v>102</v>
          </cell>
          <cell r="C106" t="str">
            <v>219.51</v>
          </cell>
          <cell r="D106">
            <v>307.31</v>
          </cell>
          <cell r="F106" t="str">
            <v>133.29</v>
          </cell>
          <cell r="G106">
            <v>186.61</v>
          </cell>
        </row>
        <row r="107">
          <cell r="B107">
            <v>103</v>
          </cell>
          <cell r="C107" t="str">
            <v>221.72</v>
          </cell>
          <cell r="D107">
            <v>310.41000000000003</v>
          </cell>
          <cell r="F107" t="str">
            <v>134.58</v>
          </cell>
          <cell r="G107">
            <v>188.41</v>
          </cell>
        </row>
        <row r="108">
          <cell r="B108">
            <v>104</v>
          </cell>
          <cell r="C108" t="str">
            <v>223.81</v>
          </cell>
          <cell r="D108">
            <v>313.33</v>
          </cell>
          <cell r="F108" t="str">
            <v>135.87</v>
          </cell>
          <cell r="G108">
            <v>190.22</v>
          </cell>
        </row>
        <row r="109">
          <cell r="B109">
            <v>105</v>
          </cell>
          <cell r="C109" t="str">
            <v>226.04</v>
          </cell>
          <cell r="D109">
            <v>316.45999999999998</v>
          </cell>
          <cell r="F109" t="str">
            <v>137.2</v>
          </cell>
          <cell r="G109">
            <v>192.08</v>
          </cell>
        </row>
        <row r="110">
          <cell r="B110">
            <v>106</v>
          </cell>
          <cell r="C110" t="str">
            <v>228.13</v>
          </cell>
          <cell r="D110">
            <v>319.38</v>
          </cell>
          <cell r="F110" t="str">
            <v>138.49</v>
          </cell>
          <cell r="G110">
            <v>193.89</v>
          </cell>
        </row>
        <row r="111">
          <cell r="B111">
            <v>107</v>
          </cell>
          <cell r="C111" t="str">
            <v>230.23</v>
          </cell>
          <cell r="D111">
            <v>322.32</v>
          </cell>
          <cell r="F111" t="str">
            <v>139.79</v>
          </cell>
          <cell r="G111">
            <v>195.71</v>
          </cell>
        </row>
        <row r="112">
          <cell r="B112">
            <v>108</v>
          </cell>
          <cell r="C112" t="str">
            <v>232.34</v>
          </cell>
          <cell r="D112">
            <v>325.27999999999997</v>
          </cell>
          <cell r="F112" t="str">
            <v>141.09</v>
          </cell>
          <cell r="G112">
            <v>197.53</v>
          </cell>
        </row>
        <row r="113">
          <cell r="B113">
            <v>109</v>
          </cell>
          <cell r="C113" t="str">
            <v>234.6</v>
          </cell>
          <cell r="D113">
            <v>328.44</v>
          </cell>
          <cell r="F113" t="str">
            <v>142.39</v>
          </cell>
          <cell r="G113">
            <v>199.35</v>
          </cell>
        </row>
        <row r="114">
          <cell r="B114">
            <v>110</v>
          </cell>
          <cell r="C114" t="str">
            <v>236.71</v>
          </cell>
          <cell r="D114">
            <v>331.39</v>
          </cell>
          <cell r="F114" t="str">
            <v>143.69</v>
          </cell>
          <cell r="G114">
            <v>201.17</v>
          </cell>
        </row>
        <row r="115">
          <cell r="B115">
            <v>111</v>
          </cell>
          <cell r="C115" t="str">
            <v>238.84</v>
          </cell>
          <cell r="D115">
            <v>334.38</v>
          </cell>
          <cell r="F115" t="str">
            <v>144.99</v>
          </cell>
          <cell r="G115">
            <v>202.99</v>
          </cell>
        </row>
        <row r="116">
          <cell r="B116">
            <v>112</v>
          </cell>
          <cell r="C116" t="str">
            <v>240.96</v>
          </cell>
          <cell r="D116">
            <v>337.34</v>
          </cell>
          <cell r="F116" t="str">
            <v>146.29</v>
          </cell>
          <cell r="G116">
            <v>204.81</v>
          </cell>
        </row>
        <row r="117">
          <cell r="B117">
            <v>113</v>
          </cell>
          <cell r="C117" t="str">
            <v>243.1</v>
          </cell>
          <cell r="D117">
            <v>340.34</v>
          </cell>
          <cell r="F117" t="str">
            <v>147.59</v>
          </cell>
          <cell r="G117">
            <v>206.63</v>
          </cell>
        </row>
        <row r="118">
          <cell r="B118">
            <v>114</v>
          </cell>
          <cell r="C118" t="str">
            <v>245.24</v>
          </cell>
          <cell r="D118">
            <v>343.34</v>
          </cell>
          <cell r="F118" t="str">
            <v>148.9</v>
          </cell>
          <cell r="G118">
            <v>208.46</v>
          </cell>
        </row>
        <row r="119">
          <cell r="B119">
            <v>115</v>
          </cell>
          <cell r="C119" t="str">
            <v>247.38</v>
          </cell>
          <cell r="D119">
            <v>346.33</v>
          </cell>
          <cell r="F119" t="str">
            <v>150.2</v>
          </cell>
          <cell r="G119">
            <v>210.28</v>
          </cell>
        </row>
        <row r="120">
          <cell r="B120">
            <v>116</v>
          </cell>
          <cell r="C120" t="str">
            <v>249.53</v>
          </cell>
          <cell r="D120">
            <v>349.34</v>
          </cell>
          <cell r="F120" t="str">
            <v>151.51</v>
          </cell>
          <cell r="G120">
            <v>212.11</v>
          </cell>
        </row>
        <row r="121">
          <cell r="B121">
            <v>117</v>
          </cell>
          <cell r="C121" t="str">
            <v>251.68</v>
          </cell>
          <cell r="D121">
            <v>352.35</v>
          </cell>
          <cell r="F121" t="str">
            <v>152.82</v>
          </cell>
          <cell r="G121">
            <v>213.95</v>
          </cell>
        </row>
        <row r="122">
          <cell r="B122">
            <v>118</v>
          </cell>
          <cell r="C122" t="str">
            <v>253.85</v>
          </cell>
          <cell r="D122">
            <v>355.39</v>
          </cell>
          <cell r="F122" t="str">
            <v>154.13</v>
          </cell>
          <cell r="G122">
            <v>215.78</v>
          </cell>
        </row>
        <row r="123">
          <cell r="B123">
            <v>119</v>
          </cell>
          <cell r="C123" t="str">
            <v>256.01</v>
          </cell>
          <cell r="D123">
            <v>358.41</v>
          </cell>
          <cell r="F123" t="str">
            <v>155.44</v>
          </cell>
          <cell r="G123">
            <v>217.62</v>
          </cell>
        </row>
        <row r="124">
          <cell r="B124">
            <v>120</v>
          </cell>
          <cell r="C124" t="str">
            <v>258.19</v>
          </cell>
          <cell r="D124">
            <v>361.47</v>
          </cell>
          <cell r="F124" t="str">
            <v>156.71</v>
          </cell>
          <cell r="G124">
            <v>219.39</v>
          </cell>
        </row>
        <row r="125">
          <cell r="B125">
            <v>121</v>
          </cell>
          <cell r="C125" t="str">
            <v>260.18</v>
          </cell>
          <cell r="D125">
            <v>364.25</v>
          </cell>
          <cell r="F125" t="str">
            <v>158.03</v>
          </cell>
          <cell r="G125">
            <v>221.24</v>
          </cell>
        </row>
        <row r="126">
          <cell r="B126">
            <v>122</v>
          </cell>
          <cell r="C126" t="str">
            <v>262.37</v>
          </cell>
          <cell r="D126">
            <v>367.32</v>
          </cell>
          <cell r="F126" t="str">
            <v>159.34</v>
          </cell>
          <cell r="G126">
            <v>223.08</v>
          </cell>
        </row>
        <row r="127">
          <cell r="B127">
            <v>123</v>
          </cell>
          <cell r="C127" t="str">
            <v>264.56</v>
          </cell>
          <cell r="D127">
            <v>370.38</v>
          </cell>
          <cell r="F127" t="str">
            <v>160.62</v>
          </cell>
          <cell r="G127">
            <v>224.87</v>
          </cell>
        </row>
        <row r="128">
          <cell r="B128">
            <v>124</v>
          </cell>
          <cell r="C128" t="str">
            <v>266.76</v>
          </cell>
          <cell r="D128">
            <v>373.46</v>
          </cell>
          <cell r="F128" t="str">
            <v>161.94</v>
          </cell>
          <cell r="G128">
            <v>226.72</v>
          </cell>
        </row>
        <row r="129">
          <cell r="B129">
            <v>125</v>
          </cell>
          <cell r="C129" t="str">
            <v>268.76</v>
          </cell>
          <cell r="D129">
            <v>376.26</v>
          </cell>
          <cell r="F129" t="str">
            <v>163.25</v>
          </cell>
          <cell r="G129">
            <v>228.55</v>
          </cell>
        </row>
        <row r="130">
          <cell r="B130">
            <v>126</v>
          </cell>
          <cell r="C130" t="str">
            <v>270.97</v>
          </cell>
          <cell r="D130">
            <v>379.36</v>
          </cell>
          <cell r="F130" t="str">
            <v>164.53</v>
          </cell>
          <cell r="G130">
            <v>230.34</v>
          </cell>
        </row>
        <row r="131">
          <cell r="B131">
            <v>127</v>
          </cell>
          <cell r="C131" t="str">
            <v>273.19</v>
          </cell>
          <cell r="D131">
            <v>382.47</v>
          </cell>
          <cell r="F131" t="str">
            <v>165.85</v>
          </cell>
          <cell r="G131">
            <v>232.19</v>
          </cell>
        </row>
        <row r="132">
          <cell r="B132">
            <v>128</v>
          </cell>
          <cell r="C132" t="str">
            <v>275.21</v>
          </cell>
          <cell r="D132">
            <v>385.29</v>
          </cell>
          <cell r="F132" t="str">
            <v>167.18</v>
          </cell>
          <cell r="G132">
            <v>234.05</v>
          </cell>
        </row>
        <row r="133">
          <cell r="B133">
            <v>129</v>
          </cell>
          <cell r="C133" t="str">
            <v>277.43</v>
          </cell>
          <cell r="D133">
            <v>388.4</v>
          </cell>
          <cell r="F133" t="str">
            <v>168.46</v>
          </cell>
          <cell r="G133">
            <v>235.84</v>
          </cell>
        </row>
        <row r="134">
          <cell r="B134">
            <v>130</v>
          </cell>
          <cell r="C134" t="str">
            <v>279.67</v>
          </cell>
          <cell r="D134">
            <v>391.54</v>
          </cell>
          <cell r="F134" t="str">
            <v>169.78</v>
          </cell>
          <cell r="G134">
            <v>237.69</v>
          </cell>
        </row>
        <row r="135">
          <cell r="B135">
            <v>131</v>
          </cell>
          <cell r="C135" t="str">
            <v>281.7</v>
          </cell>
          <cell r="D135">
            <v>394.38</v>
          </cell>
          <cell r="F135" t="str">
            <v>171.06</v>
          </cell>
          <cell r="G135">
            <v>239.48</v>
          </cell>
        </row>
        <row r="136">
          <cell r="B136">
            <v>132</v>
          </cell>
          <cell r="C136" t="str">
            <v>283.95</v>
          </cell>
          <cell r="D136">
            <v>397.53</v>
          </cell>
          <cell r="F136" t="str">
            <v>172.34</v>
          </cell>
          <cell r="G136">
            <v>241.28</v>
          </cell>
        </row>
        <row r="137">
          <cell r="B137">
            <v>133</v>
          </cell>
          <cell r="C137" t="str">
            <v>285.98</v>
          </cell>
          <cell r="D137">
            <v>400.37</v>
          </cell>
          <cell r="F137" t="str">
            <v>173.67</v>
          </cell>
          <cell r="G137">
            <v>243.14</v>
          </cell>
        </row>
        <row r="138">
          <cell r="B138">
            <v>134</v>
          </cell>
          <cell r="C138" t="str">
            <v>288.24</v>
          </cell>
          <cell r="D138">
            <v>403.54</v>
          </cell>
          <cell r="F138" t="str">
            <v>174.95</v>
          </cell>
          <cell r="G138">
            <v>244.93</v>
          </cell>
        </row>
        <row r="139">
          <cell r="B139">
            <v>135</v>
          </cell>
          <cell r="C139" t="str">
            <v>290.28</v>
          </cell>
          <cell r="D139">
            <v>406.39</v>
          </cell>
          <cell r="F139" t="str">
            <v>176.29</v>
          </cell>
          <cell r="G139">
            <v>246.81</v>
          </cell>
        </row>
        <row r="140">
          <cell r="B140">
            <v>136</v>
          </cell>
          <cell r="C140" t="str">
            <v>292.33</v>
          </cell>
          <cell r="D140">
            <v>409.26</v>
          </cell>
          <cell r="F140" t="str">
            <v>177.57</v>
          </cell>
          <cell r="G140">
            <v>248.6</v>
          </cell>
        </row>
        <row r="141">
          <cell r="B141">
            <v>137</v>
          </cell>
          <cell r="C141" t="str">
            <v>294.61</v>
          </cell>
          <cell r="D141">
            <v>412.45</v>
          </cell>
          <cell r="F141" t="str">
            <v>178.91</v>
          </cell>
          <cell r="G141">
            <v>250.47</v>
          </cell>
        </row>
        <row r="142">
          <cell r="B142">
            <v>138</v>
          </cell>
          <cell r="C142" t="str">
            <v>296.66</v>
          </cell>
          <cell r="D142">
            <v>415.32</v>
          </cell>
          <cell r="F142" t="str">
            <v>180.19</v>
          </cell>
          <cell r="G142">
            <v>252.27</v>
          </cell>
        </row>
        <row r="143">
          <cell r="B143">
            <v>139</v>
          </cell>
          <cell r="C143" t="str">
            <v>298.95</v>
          </cell>
          <cell r="D143">
            <v>418.53</v>
          </cell>
          <cell r="F143" t="str">
            <v>181.48</v>
          </cell>
          <cell r="G143">
            <v>254.07</v>
          </cell>
        </row>
        <row r="144">
          <cell r="B144">
            <v>140</v>
          </cell>
          <cell r="C144" t="str">
            <v>301.01</v>
          </cell>
          <cell r="D144">
            <v>421.41</v>
          </cell>
          <cell r="F144" t="str">
            <v>182.76</v>
          </cell>
          <cell r="G144">
            <v>255.86</v>
          </cell>
        </row>
        <row r="145">
          <cell r="B145">
            <v>141</v>
          </cell>
          <cell r="C145" t="str">
            <v>303.07</v>
          </cell>
          <cell r="D145">
            <v>424.3</v>
          </cell>
          <cell r="F145" t="str">
            <v>184.11</v>
          </cell>
          <cell r="G145">
            <v>257.75</v>
          </cell>
        </row>
        <row r="146">
          <cell r="B146">
            <v>142</v>
          </cell>
          <cell r="C146" t="str">
            <v>305.38</v>
          </cell>
          <cell r="D146">
            <v>427.53</v>
          </cell>
          <cell r="F146" t="str">
            <v>185.39</v>
          </cell>
          <cell r="G146">
            <v>259.55</v>
          </cell>
        </row>
        <row r="147">
          <cell r="B147">
            <v>143</v>
          </cell>
          <cell r="C147" t="str">
            <v>307.45</v>
          </cell>
          <cell r="D147">
            <v>430.43</v>
          </cell>
          <cell r="F147" t="str">
            <v>186.68</v>
          </cell>
          <cell r="G147">
            <v>261.35000000000002</v>
          </cell>
        </row>
        <row r="148">
          <cell r="B148">
            <v>144</v>
          </cell>
          <cell r="C148" t="str">
            <v>309.52</v>
          </cell>
          <cell r="D148">
            <v>433.33</v>
          </cell>
          <cell r="F148" t="str">
            <v>188.03</v>
          </cell>
          <cell r="G148">
            <v>263.24</v>
          </cell>
        </row>
        <row r="149">
          <cell r="B149">
            <v>145</v>
          </cell>
          <cell r="C149" t="str">
            <v>311.86</v>
          </cell>
          <cell r="D149">
            <v>436.6</v>
          </cell>
          <cell r="F149" t="str">
            <v>189.32</v>
          </cell>
          <cell r="G149">
            <v>265.05</v>
          </cell>
        </row>
        <row r="150">
          <cell r="B150">
            <v>146</v>
          </cell>
          <cell r="C150" t="str">
            <v>313.94</v>
          </cell>
          <cell r="D150">
            <v>439.52</v>
          </cell>
          <cell r="F150" t="str">
            <v>190.61</v>
          </cell>
          <cell r="G150">
            <v>266.85000000000002</v>
          </cell>
        </row>
        <row r="151">
          <cell r="B151">
            <v>147</v>
          </cell>
          <cell r="C151" t="str">
            <v>316.02</v>
          </cell>
          <cell r="D151">
            <v>442.43</v>
          </cell>
          <cell r="F151" t="str">
            <v>191.9</v>
          </cell>
          <cell r="G151">
            <v>268.66000000000003</v>
          </cell>
        </row>
        <row r="152">
          <cell r="B152">
            <v>148</v>
          </cell>
          <cell r="C152" t="str">
            <v>318.1</v>
          </cell>
          <cell r="D152">
            <v>445.34</v>
          </cell>
          <cell r="F152" t="str">
            <v>193.19</v>
          </cell>
          <cell r="G152">
            <v>270.47000000000003</v>
          </cell>
        </row>
        <row r="153">
          <cell r="B153">
            <v>149</v>
          </cell>
          <cell r="C153" t="str">
            <v>320.19</v>
          </cell>
          <cell r="D153">
            <v>448.27</v>
          </cell>
          <cell r="F153" t="str">
            <v>194.55</v>
          </cell>
          <cell r="G153">
            <v>272.37</v>
          </cell>
        </row>
        <row r="154">
          <cell r="B154">
            <v>150</v>
          </cell>
          <cell r="C154" t="str">
            <v>322.56</v>
          </cell>
          <cell r="D154">
            <v>451.58</v>
          </cell>
          <cell r="F154" t="str">
            <v>195.84</v>
          </cell>
          <cell r="G154">
            <v>274.18</v>
          </cell>
        </row>
        <row r="155">
          <cell r="B155">
            <v>151</v>
          </cell>
          <cell r="C155" t="str">
            <v>324.66</v>
          </cell>
          <cell r="D155">
            <v>454.52</v>
          </cell>
          <cell r="F155" t="str">
            <v>197.14</v>
          </cell>
          <cell r="G155">
            <v>276</v>
          </cell>
        </row>
        <row r="156">
          <cell r="B156">
            <v>152</v>
          </cell>
          <cell r="C156" t="str">
            <v>326.76</v>
          </cell>
          <cell r="D156">
            <v>457.46</v>
          </cell>
          <cell r="F156" t="str">
            <v>198.43</v>
          </cell>
          <cell r="G156">
            <v>277.8</v>
          </cell>
        </row>
        <row r="157">
          <cell r="B157">
            <v>153</v>
          </cell>
          <cell r="C157" t="str">
            <v>328.87</v>
          </cell>
          <cell r="D157">
            <v>460.42</v>
          </cell>
          <cell r="F157" t="str">
            <v>199.73</v>
          </cell>
          <cell r="G157">
            <v>279.62</v>
          </cell>
        </row>
        <row r="158">
          <cell r="B158">
            <v>154</v>
          </cell>
          <cell r="C158" t="str">
            <v>330.97</v>
          </cell>
          <cell r="D158">
            <v>463.36</v>
          </cell>
          <cell r="F158" t="str">
            <v>201.03</v>
          </cell>
          <cell r="G158">
            <v>281.44</v>
          </cell>
        </row>
        <row r="159">
          <cell r="B159">
            <v>155</v>
          </cell>
          <cell r="C159" t="str">
            <v>333.08</v>
          </cell>
          <cell r="D159">
            <v>466.31</v>
          </cell>
          <cell r="F159" t="str">
            <v>202.33</v>
          </cell>
          <cell r="G159">
            <v>283.26</v>
          </cell>
        </row>
        <row r="160">
          <cell r="B160">
            <v>156</v>
          </cell>
          <cell r="C160" t="str">
            <v>335.2</v>
          </cell>
          <cell r="D160">
            <v>469.28</v>
          </cell>
          <cell r="F160" t="str">
            <v>203.62</v>
          </cell>
          <cell r="G160">
            <v>285.07</v>
          </cell>
        </row>
        <row r="161">
          <cell r="B161">
            <v>157</v>
          </cell>
          <cell r="C161" t="str">
            <v>337.31</v>
          </cell>
          <cell r="D161">
            <v>472.23</v>
          </cell>
          <cell r="F161" t="str">
            <v>204.92</v>
          </cell>
          <cell r="G161">
            <v>286.89</v>
          </cell>
        </row>
        <row r="162">
          <cell r="B162">
            <v>158</v>
          </cell>
          <cell r="C162" t="str">
            <v>339.75</v>
          </cell>
          <cell r="D162">
            <v>475.65</v>
          </cell>
          <cell r="F162" t="str">
            <v>206.22</v>
          </cell>
          <cell r="G162">
            <v>288.70999999999998</v>
          </cell>
        </row>
        <row r="163">
          <cell r="B163">
            <v>159</v>
          </cell>
          <cell r="C163" t="str">
            <v>341.88</v>
          </cell>
          <cell r="D163">
            <v>478.63</v>
          </cell>
          <cell r="F163" t="str">
            <v>207.53</v>
          </cell>
          <cell r="G163">
            <v>290.54000000000002</v>
          </cell>
        </row>
        <row r="164">
          <cell r="B164">
            <v>160</v>
          </cell>
          <cell r="C164" t="str">
            <v>344.01</v>
          </cell>
          <cell r="D164">
            <v>481.61</v>
          </cell>
          <cell r="F164" t="str">
            <v>208.83</v>
          </cell>
          <cell r="G164">
            <v>292.36</v>
          </cell>
        </row>
        <row r="165">
          <cell r="B165">
            <v>161</v>
          </cell>
          <cell r="C165" t="str">
            <v>346.14</v>
          </cell>
          <cell r="D165">
            <v>484.6</v>
          </cell>
          <cell r="F165" t="str">
            <v>210.13</v>
          </cell>
          <cell r="G165">
            <v>294.18</v>
          </cell>
        </row>
        <row r="166">
          <cell r="B166">
            <v>162</v>
          </cell>
          <cell r="C166" t="str">
            <v>348.28</v>
          </cell>
          <cell r="D166">
            <v>487.59</v>
          </cell>
          <cell r="F166" t="str">
            <v>211.43</v>
          </cell>
          <cell r="G166">
            <v>296</v>
          </cell>
        </row>
        <row r="167">
          <cell r="B167">
            <v>163</v>
          </cell>
          <cell r="C167" t="str">
            <v>350.43</v>
          </cell>
          <cell r="D167">
            <v>490.6</v>
          </cell>
          <cell r="F167" t="str">
            <v>212.74</v>
          </cell>
          <cell r="G167">
            <v>297.83999999999997</v>
          </cell>
        </row>
        <row r="168">
          <cell r="B168">
            <v>164</v>
          </cell>
          <cell r="C168" t="str">
            <v>352.58</v>
          </cell>
          <cell r="D168">
            <v>493.61</v>
          </cell>
          <cell r="F168" t="str">
            <v>214.05</v>
          </cell>
          <cell r="G168">
            <v>299.67</v>
          </cell>
        </row>
        <row r="169">
          <cell r="B169">
            <v>165</v>
          </cell>
          <cell r="C169" t="str">
            <v>354.73</v>
          </cell>
          <cell r="D169">
            <v>496.62</v>
          </cell>
          <cell r="F169" t="str">
            <v>215.35</v>
          </cell>
          <cell r="G169">
            <v>301.49</v>
          </cell>
        </row>
        <row r="170">
          <cell r="B170">
            <v>166</v>
          </cell>
          <cell r="C170" t="str">
            <v>356.88</v>
          </cell>
          <cell r="D170">
            <v>499.63</v>
          </cell>
          <cell r="F170" t="str">
            <v>216.66</v>
          </cell>
          <cell r="G170">
            <v>303.32</v>
          </cell>
        </row>
        <row r="171">
          <cell r="B171">
            <v>167</v>
          </cell>
          <cell r="C171" t="str">
            <v>359.04</v>
          </cell>
          <cell r="D171">
            <v>502.66</v>
          </cell>
          <cell r="F171" t="str">
            <v>217.97</v>
          </cell>
          <cell r="G171">
            <v>305.16000000000003</v>
          </cell>
        </row>
        <row r="172">
          <cell r="B172">
            <v>168</v>
          </cell>
          <cell r="C172" t="str">
            <v>361.21</v>
          </cell>
          <cell r="D172">
            <v>505.69</v>
          </cell>
          <cell r="F172" t="str">
            <v>219.28</v>
          </cell>
          <cell r="G172">
            <v>306.99</v>
          </cell>
        </row>
        <row r="173">
          <cell r="B173">
            <v>169</v>
          </cell>
          <cell r="C173" t="str">
            <v>363.02</v>
          </cell>
          <cell r="D173">
            <v>508.23</v>
          </cell>
          <cell r="F173" t="str">
            <v>220.59</v>
          </cell>
          <cell r="G173">
            <v>308.83</v>
          </cell>
        </row>
        <row r="174">
          <cell r="B174">
            <v>170</v>
          </cell>
          <cell r="C174" t="str">
            <v>365.19</v>
          </cell>
          <cell r="D174">
            <v>511.27</v>
          </cell>
          <cell r="F174" t="str">
            <v>221.9</v>
          </cell>
          <cell r="G174">
            <v>310.66000000000003</v>
          </cell>
        </row>
        <row r="175">
          <cell r="B175">
            <v>171</v>
          </cell>
          <cell r="C175" t="str">
            <v>367.36</v>
          </cell>
          <cell r="D175">
            <v>514.29999999999995</v>
          </cell>
          <cell r="F175" t="str">
            <v>223.21</v>
          </cell>
          <cell r="G175">
            <v>312.49</v>
          </cell>
        </row>
        <row r="176">
          <cell r="B176">
            <v>172</v>
          </cell>
          <cell r="C176" t="str">
            <v>369.54</v>
          </cell>
          <cell r="D176">
            <v>517.36</v>
          </cell>
          <cell r="F176" t="str">
            <v>224.52</v>
          </cell>
          <cell r="G176">
            <v>314.33</v>
          </cell>
        </row>
        <row r="177">
          <cell r="B177">
            <v>173</v>
          </cell>
          <cell r="C177" t="str">
            <v>371.73</v>
          </cell>
          <cell r="D177">
            <v>520.41999999999996</v>
          </cell>
          <cell r="F177" t="str">
            <v>225.76</v>
          </cell>
          <cell r="G177">
            <v>316.06</v>
          </cell>
        </row>
        <row r="178">
          <cell r="B178">
            <v>174</v>
          </cell>
          <cell r="C178" t="str">
            <v>373.91</v>
          </cell>
          <cell r="D178">
            <v>523.47</v>
          </cell>
          <cell r="F178" t="str">
            <v>227.07</v>
          </cell>
          <cell r="G178">
            <v>317.89999999999998</v>
          </cell>
        </row>
        <row r="179">
          <cell r="B179">
            <v>175</v>
          </cell>
          <cell r="C179" t="str">
            <v>376.11</v>
          </cell>
          <cell r="D179">
            <v>526.54999999999995</v>
          </cell>
          <cell r="F179" t="str">
            <v>228.39</v>
          </cell>
          <cell r="G179">
            <v>319.75</v>
          </cell>
        </row>
        <row r="180">
          <cell r="B180">
            <v>176</v>
          </cell>
          <cell r="C180" t="str">
            <v>378.3</v>
          </cell>
          <cell r="D180">
            <v>529.62</v>
          </cell>
          <cell r="F180" t="str">
            <v>229.7</v>
          </cell>
          <cell r="G180">
            <v>321.58</v>
          </cell>
        </row>
        <row r="181">
          <cell r="B181">
            <v>177</v>
          </cell>
          <cell r="C181" t="str">
            <v>380.51</v>
          </cell>
          <cell r="D181">
            <v>532.71</v>
          </cell>
          <cell r="F181" t="str">
            <v>231.02</v>
          </cell>
          <cell r="G181">
            <v>323.43</v>
          </cell>
        </row>
        <row r="182">
          <cell r="B182">
            <v>178</v>
          </cell>
          <cell r="C182" t="str">
            <v>382.32</v>
          </cell>
          <cell r="D182">
            <v>535.25</v>
          </cell>
          <cell r="F182" t="str">
            <v>232.34</v>
          </cell>
          <cell r="G182">
            <v>325.27999999999997</v>
          </cell>
        </row>
        <row r="183">
          <cell r="B183">
            <v>179</v>
          </cell>
          <cell r="C183" t="str">
            <v>384.53</v>
          </cell>
          <cell r="D183">
            <v>538.34</v>
          </cell>
          <cell r="F183" t="str">
            <v>233.57</v>
          </cell>
          <cell r="G183">
            <v>327</v>
          </cell>
        </row>
        <row r="184">
          <cell r="B184">
            <v>180</v>
          </cell>
          <cell r="C184" t="str">
            <v>386.74</v>
          </cell>
          <cell r="D184">
            <v>541.44000000000005</v>
          </cell>
          <cell r="F184" t="str">
            <v>234.89</v>
          </cell>
          <cell r="G184">
            <v>328.85</v>
          </cell>
        </row>
        <row r="185">
          <cell r="B185">
            <v>181</v>
          </cell>
          <cell r="C185" t="str">
            <v>388.96</v>
          </cell>
          <cell r="D185">
            <v>544.54</v>
          </cell>
          <cell r="F185" t="str">
            <v>236.21</v>
          </cell>
          <cell r="G185">
            <v>330.69</v>
          </cell>
        </row>
        <row r="186">
          <cell r="B186">
            <v>182</v>
          </cell>
          <cell r="C186" t="str">
            <v>391.18</v>
          </cell>
          <cell r="D186">
            <v>547.65</v>
          </cell>
          <cell r="F186" t="str">
            <v>237.54</v>
          </cell>
          <cell r="G186">
            <v>332.56</v>
          </cell>
        </row>
        <row r="187">
          <cell r="B187">
            <v>183</v>
          </cell>
          <cell r="C187" t="str">
            <v>393.41</v>
          </cell>
          <cell r="D187">
            <v>550.77</v>
          </cell>
          <cell r="F187" t="str">
            <v>238.86</v>
          </cell>
          <cell r="G187">
            <v>334.4</v>
          </cell>
        </row>
        <row r="188">
          <cell r="B188">
            <v>184</v>
          </cell>
          <cell r="C188" t="str">
            <v>395.22</v>
          </cell>
          <cell r="D188">
            <v>553.30999999999995</v>
          </cell>
          <cell r="F188" t="str">
            <v>240.09</v>
          </cell>
          <cell r="G188">
            <v>336.13</v>
          </cell>
        </row>
        <row r="189">
          <cell r="B189">
            <v>185</v>
          </cell>
          <cell r="C189" t="str">
            <v>397.46</v>
          </cell>
          <cell r="D189">
            <v>556.44000000000005</v>
          </cell>
          <cell r="F189" t="str">
            <v>241.42</v>
          </cell>
          <cell r="G189">
            <v>337.99</v>
          </cell>
        </row>
        <row r="190">
          <cell r="B190">
            <v>186</v>
          </cell>
          <cell r="C190" t="str">
            <v>399.7</v>
          </cell>
          <cell r="D190">
            <v>559.58000000000004</v>
          </cell>
          <cell r="F190" t="str">
            <v>242.74</v>
          </cell>
          <cell r="G190">
            <v>339.84</v>
          </cell>
        </row>
        <row r="191">
          <cell r="B191">
            <v>187</v>
          </cell>
          <cell r="C191" t="str">
            <v>401.95</v>
          </cell>
          <cell r="D191">
            <v>562.73</v>
          </cell>
          <cell r="F191" t="str">
            <v>244.07</v>
          </cell>
          <cell r="G191">
            <v>341.7</v>
          </cell>
        </row>
        <row r="192">
          <cell r="B192">
            <v>188</v>
          </cell>
          <cell r="C192" t="str">
            <v>403.76</v>
          </cell>
          <cell r="D192">
            <v>565.26</v>
          </cell>
          <cell r="F192" t="str">
            <v>245.3</v>
          </cell>
          <cell r="G192">
            <v>343.42</v>
          </cell>
        </row>
        <row r="193">
          <cell r="B193">
            <v>189</v>
          </cell>
          <cell r="C193" t="str">
            <v>406.01</v>
          </cell>
          <cell r="D193">
            <v>568.41</v>
          </cell>
          <cell r="F193" t="str">
            <v>246.63</v>
          </cell>
          <cell r="G193">
            <v>345.28</v>
          </cell>
        </row>
        <row r="194">
          <cell r="B194">
            <v>190</v>
          </cell>
          <cell r="C194" t="str">
            <v>408.27</v>
          </cell>
          <cell r="D194">
            <v>571.58000000000004</v>
          </cell>
          <cell r="F194" t="str">
            <v>247.96</v>
          </cell>
          <cell r="G194">
            <v>347.14</v>
          </cell>
        </row>
        <row r="195">
          <cell r="B195">
            <v>191</v>
          </cell>
          <cell r="C195" t="str">
            <v>410.54</v>
          </cell>
          <cell r="D195">
            <v>574.76</v>
          </cell>
          <cell r="F195" t="str">
            <v>249.29</v>
          </cell>
          <cell r="G195">
            <v>349.01</v>
          </cell>
        </row>
        <row r="196">
          <cell r="B196">
            <v>192</v>
          </cell>
          <cell r="C196" t="str">
            <v>412.35</v>
          </cell>
          <cell r="D196">
            <v>577.29</v>
          </cell>
          <cell r="F196" t="str">
            <v>250.53</v>
          </cell>
          <cell r="G196">
            <v>350.74</v>
          </cell>
        </row>
        <row r="197">
          <cell r="B197">
            <v>193</v>
          </cell>
          <cell r="C197" t="str">
            <v>414.62</v>
          </cell>
          <cell r="D197">
            <v>580.47</v>
          </cell>
          <cell r="F197" t="str">
            <v>251.86</v>
          </cell>
          <cell r="G197">
            <v>352.6</v>
          </cell>
        </row>
        <row r="198">
          <cell r="B198">
            <v>194</v>
          </cell>
          <cell r="C198" t="str">
            <v>416.9</v>
          </cell>
          <cell r="D198">
            <v>583.66</v>
          </cell>
          <cell r="F198" t="str">
            <v>253.19</v>
          </cell>
          <cell r="G198">
            <v>354.47</v>
          </cell>
        </row>
        <row r="199">
          <cell r="B199">
            <v>195</v>
          </cell>
          <cell r="C199" t="str">
            <v>419.19</v>
          </cell>
          <cell r="D199">
            <v>586.87</v>
          </cell>
          <cell r="F199" t="str">
            <v>254.43</v>
          </cell>
          <cell r="G199">
            <v>356.2</v>
          </cell>
        </row>
        <row r="200">
          <cell r="B200">
            <v>196</v>
          </cell>
          <cell r="C200" t="str">
            <v>421</v>
          </cell>
          <cell r="D200">
            <v>589.4</v>
          </cell>
          <cell r="F200" t="str">
            <v>255.76</v>
          </cell>
          <cell r="G200">
            <v>358.06</v>
          </cell>
        </row>
        <row r="201">
          <cell r="B201">
            <v>197</v>
          </cell>
          <cell r="C201" t="str">
            <v>423.29</v>
          </cell>
          <cell r="D201">
            <v>592.61</v>
          </cell>
          <cell r="F201" t="str">
            <v>257.1</v>
          </cell>
          <cell r="G201">
            <v>359.94</v>
          </cell>
        </row>
        <row r="202">
          <cell r="B202">
            <v>198</v>
          </cell>
          <cell r="C202" t="str">
            <v>425.59</v>
          </cell>
          <cell r="D202">
            <v>595.83000000000004</v>
          </cell>
          <cell r="F202" t="str">
            <v>258.33</v>
          </cell>
          <cell r="G202">
            <v>361.66</v>
          </cell>
        </row>
        <row r="203">
          <cell r="B203">
            <v>199</v>
          </cell>
          <cell r="C203" t="str">
            <v>427.4</v>
          </cell>
          <cell r="D203">
            <v>598.36</v>
          </cell>
          <cell r="F203" t="str">
            <v>259.67</v>
          </cell>
          <cell r="G203">
            <v>363.54</v>
          </cell>
        </row>
        <row r="204">
          <cell r="B204">
            <v>200</v>
          </cell>
          <cell r="C204" t="str">
            <v>429.71</v>
          </cell>
          <cell r="D204">
            <v>601.59</v>
          </cell>
          <cell r="F204" t="str">
            <v>261.01</v>
          </cell>
          <cell r="G204">
            <v>365.41</v>
          </cell>
        </row>
        <row r="205">
          <cell r="B205">
            <v>201</v>
          </cell>
          <cell r="C205">
            <v>431.85999999999996</v>
          </cell>
          <cell r="D205">
            <v>604.6</v>
          </cell>
          <cell r="F205">
            <v>262.31</v>
          </cell>
          <cell r="G205">
            <v>367.23</v>
          </cell>
        </row>
        <row r="206">
          <cell r="B206">
            <v>202</v>
          </cell>
          <cell r="C206">
            <v>434.00999999999993</v>
          </cell>
          <cell r="D206">
            <v>607.61</v>
          </cell>
          <cell r="F206">
            <v>263.61</v>
          </cell>
          <cell r="G206">
            <v>369.05</v>
          </cell>
        </row>
        <row r="207">
          <cell r="B207">
            <v>203</v>
          </cell>
          <cell r="C207">
            <v>436.15999999999991</v>
          </cell>
          <cell r="D207">
            <v>610.62</v>
          </cell>
          <cell r="F207">
            <v>264.91000000000003</v>
          </cell>
          <cell r="G207">
            <v>370.87</v>
          </cell>
        </row>
        <row r="208">
          <cell r="B208">
            <v>204</v>
          </cell>
          <cell r="C208">
            <v>438.30999999999989</v>
          </cell>
          <cell r="D208">
            <v>613.63</v>
          </cell>
          <cell r="F208">
            <v>266.21000000000004</v>
          </cell>
          <cell r="G208">
            <v>372.69</v>
          </cell>
        </row>
        <row r="209">
          <cell r="B209">
            <v>205</v>
          </cell>
          <cell r="C209">
            <v>440.45999999999987</v>
          </cell>
          <cell r="D209">
            <v>616.64</v>
          </cell>
          <cell r="F209">
            <v>267.51000000000005</v>
          </cell>
          <cell r="G209">
            <v>374.51</v>
          </cell>
        </row>
        <row r="210">
          <cell r="B210">
            <v>206</v>
          </cell>
          <cell r="C210">
            <v>442.60999999999984</v>
          </cell>
          <cell r="D210">
            <v>619.65</v>
          </cell>
          <cell r="F210">
            <v>268.81000000000006</v>
          </cell>
          <cell r="G210">
            <v>376.33</v>
          </cell>
        </row>
        <row r="211">
          <cell r="B211">
            <v>207</v>
          </cell>
          <cell r="C211">
            <v>444.75999999999982</v>
          </cell>
          <cell r="D211">
            <v>622.66</v>
          </cell>
          <cell r="F211">
            <v>270.11000000000007</v>
          </cell>
          <cell r="G211">
            <v>378.15</v>
          </cell>
        </row>
        <row r="212">
          <cell r="B212">
            <v>208</v>
          </cell>
          <cell r="C212">
            <v>446.9099999999998</v>
          </cell>
          <cell r="D212">
            <v>625.66999999999996</v>
          </cell>
          <cell r="F212">
            <v>271.41000000000008</v>
          </cell>
          <cell r="G212">
            <v>379.97</v>
          </cell>
        </row>
        <row r="213">
          <cell r="B213">
            <v>209</v>
          </cell>
          <cell r="C213">
            <v>449.05999999999977</v>
          </cell>
          <cell r="D213">
            <v>628.67999999999995</v>
          </cell>
          <cell r="F213">
            <v>272.71000000000009</v>
          </cell>
          <cell r="G213">
            <v>381.79</v>
          </cell>
        </row>
        <row r="214">
          <cell r="B214">
            <v>210</v>
          </cell>
          <cell r="C214">
            <v>451.20999999999975</v>
          </cell>
          <cell r="D214">
            <v>631.69000000000005</v>
          </cell>
          <cell r="F214">
            <v>274.0100000000001</v>
          </cell>
          <cell r="G214">
            <v>383.61</v>
          </cell>
        </row>
        <row r="215">
          <cell r="B215">
            <v>211</v>
          </cell>
          <cell r="C215">
            <v>453.35999999999973</v>
          </cell>
          <cell r="D215">
            <v>634.70000000000005</v>
          </cell>
          <cell r="F215">
            <v>275.31000000000012</v>
          </cell>
          <cell r="G215">
            <v>385.43</v>
          </cell>
        </row>
        <row r="216">
          <cell r="B216">
            <v>212</v>
          </cell>
          <cell r="C216">
            <v>455.50999999999971</v>
          </cell>
          <cell r="D216">
            <v>637.71</v>
          </cell>
          <cell r="F216">
            <v>276.61000000000013</v>
          </cell>
          <cell r="G216">
            <v>387.25</v>
          </cell>
        </row>
        <row r="217">
          <cell r="B217">
            <v>213</v>
          </cell>
          <cell r="C217">
            <v>457.65999999999968</v>
          </cell>
          <cell r="D217">
            <v>640.72</v>
          </cell>
          <cell r="F217">
            <v>277.91000000000014</v>
          </cell>
          <cell r="G217">
            <v>389.07</v>
          </cell>
        </row>
        <row r="218">
          <cell r="B218">
            <v>214</v>
          </cell>
          <cell r="C218">
            <v>459.80999999999966</v>
          </cell>
          <cell r="D218">
            <v>643.73</v>
          </cell>
          <cell r="F218">
            <v>279.21000000000015</v>
          </cell>
          <cell r="G218">
            <v>390.89</v>
          </cell>
        </row>
        <row r="219">
          <cell r="B219">
            <v>215</v>
          </cell>
          <cell r="C219">
            <v>461.95999999999964</v>
          </cell>
          <cell r="D219">
            <v>646.74</v>
          </cell>
          <cell r="F219">
            <v>280.51000000000016</v>
          </cell>
          <cell r="G219">
            <v>392.71</v>
          </cell>
        </row>
        <row r="220">
          <cell r="B220">
            <v>216</v>
          </cell>
          <cell r="C220">
            <v>464.10999999999962</v>
          </cell>
          <cell r="D220">
            <v>649.75</v>
          </cell>
          <cell r="F220">
            <v>281.81000000000017</v>
          </cell>
          <cell r="G220">
            <v>394.53</v>
          </cell>
        </row>
        <row r="221">
          <cell r="B221">
            <v>217</v>
          </cell>
          <cell r="C221">
            <v>466.25999999999959</v>
          </cell>
          <cell r="D221">
            <v>652.76</v>
          </cell>
          <cell r="F221">
            <v>283.11000000000018</v>
          </cell>
          <cell r="G221">
            <v>396.35</v>
          </cell>
        </row>
        <row r="222">
          <cell r="B222">
            <v>218</v>
          </cell>
          <cell r="C222">
            <v>468.40999999999957</v>
          </cell>
          <cell r="D222">
            <v>655.77</v>
          </cell>
          <cell r="F222">
            <v>284.4100000000002</v>
          </cell>
          <cell r="G222">
            <v>398.17</v>
          </cell>
        </row>
        <row r="223">
          <cell r="B223">
            <v>219</v>
          </cell>
          <cell r="C223">
            <v>470.55999999999955</v>
          </cell>
          <cell r="D223">
            <v>658.78</v>
          </cell>
          <cell r="F223">
            <v>285.71000000000021</v>
          </cell>
          <cell r="G223">
            <v>399.99</v>
          </cell>
        </row>
        <row r="224">
          <cell r="B224">
            <v>220</v>
          </cell>
          <cell r="C224">
            <v>472.70999999999952</v>
          </cell>
          <cell r="D224">
            <v>661.79</v>
          </cell>
          <cell r="F224">
            <v>287.01000000000022</v>
          </cell>
          <cell r="G224">
            <v>401.81</v>
          </cell>
        </row>
        <row r="225">
          <cell r="B225">
            <v>221</v>
          </cell>
          <cell r="C225">
            <v>474.8599999999995</v>
          </cell>
          <cell r="D225">
            <v>664.8</v>
          </cell>
          <cell r="F225">
            <v>288.31000000000023</v>
          </cell>
          <cell r="G225">
            <v>403.63</v>
          </cell>
        </row>
        <row r="226">
          <cell r="B226">
            <v>222</v>
          </cell>
          <cell r="C226">
            <v>477.00999999999948</v>
          </cell>
          <cell r="D226">
            <v>667.81</v>
          </cell>
          <cell r="F226">
            <v>289.61000000000024</v>
          </cell>
          <cell r="G226">
            <v>405.45</v>
          </cell>
        </row>
        <row r="227">
          <cell r="B227">
            <v>223</v>
          </cell>
          <cell r="C227">
            <v>479.15999999999946</v>
          </cell>
          <cell r="D227">
            <v>670.82</v>
          </cell>
          <cell r="F227">
            <v>290.91000000000025</v>
          </cell>
          <cell r="G227">
            <v>407.27</v>
          </cell>
        </row>
        <row r="228">
          <cell r="B228">
            <v>224</v>
          </cell>
          <cell r="C228">
            <v>481.30999999999943</v>
          </cell>
          <cell r="D228">
            <v>673.83</v>
          </cell>
          <cell r="F228">
            <v>292.21000000000026</v>
          </cell>
          <cell r="G228">
            <v>409.09</v>
          </cell>
        </row>
        <row r="229">
          <cell r="B229">
            <v>225</v>
          </cell>
          <cell r="C229">
            <v>483.45999999999941</v>
          </cell>
          <cell r="D229">
            <v>676.84</v>
          </cell>
          <cell r="F229">
            <v>293.51000000000028</v>
          </cell>
          <cell r="G229">
            <v>410.91</v>
          </cell>
        </row>
        <row r="230">
          <cell r="B230">
            <v>226</v>
          </cell>
          <cell r="C230">
            <v>485.60999999999939</v>
          </cell>
          <cell r="D230">
            <v>679.85</v>
          </cell>
          <cell r="F230">
            <v>294.81000000000029</v>
          </cell>
          <cell r="G230">
            <v>412.73</v>
          </cell>
        </row>
        <row r="231">
          <cell r="B231">
            <v>227</v>
          </cell>
          <cell r="C231">
            <v>487.75999999999937</v>
          </cell>
          <cell r="D231">
            <v>682.86</v>
          </cell>
          <cell r="F231">
            <v>296.1100000000003</v>
          </cell>
          <cell r="G231">
            <v>414.55</v>
          </cell>
        </row>
        <row r="232">
          <cell r="B232">
            <v>228</v>
          </cell>
          <cell r="C232">
            <v>489.90999999999934</v>
          </cell>
          <cell r="D232">
            <v>685.87</v>
          </cell>
          <cell r="F232">
            <v>297.41000000000031</v>
          </cell>
          <cell r="G232">
            <v>416.37</v>
          </cell>
        </row>
        <row r="233">
          <cell r="B233">
            <v>229</v>
          </cell>
          <cell r="C233">
            <v>492.05999999999932</v>
          </cell>
          <cell r="D233">
            <v>688.88</v>
          </cell>
          <cell r="F233">
            <v>298.71000000000032</v>
          </cell>
          <cell r="G233">
            <v>418.19</v>
          </cell>
        </row>
        <row r="234">
          <cell r="B234">
            <v>230</v>
          </cell>
          <cell r="C234">
            <v>494.2099999999993</v>
          </cell>
          <cell r="D234">
            <v>691.89</v>
          </cell>
          <cell r="F234">
            <v>300.01000000000033</v>
          </cell>
          <cell r="G234">
            <v>420.01</v>
          </cell>
        </row>
        <row r="235">
          <cell r="B235">
            <v>231</v>
          </cell>
          <cell r="C235">
            <v>496.35999999999927</v>
          </cell>
          <cell r="D235">
            <v>694.9</v>
          </cell>
          <cell r="F235">
            <v>301.31000000000034</v>
          </cell>
          <cell r="G235">
            <v>421.83</v>
          </cell>
        </row>
        <row r="236">
          <cell r="B236">
            <v>232</v>
          </cell>
          <cell r="C236">
            <v>498.50999999999925</v>
          </cell>
          <cell r="D236">
            <v>697.91</v>
          </cell>
          <cell r="F236">
            <v>302.61000000000035</v>
          </cell>
          <cell r="G236">
            <v>423.65</v>
          </cell>
        </row>
        <row r="237">
          <cell r="B237">
            <v>233</v>
          </cell>
          <cell r="C237">
            <v>500.65999999999923</v>
          </cell>
          <cell r="D237">
            <v>700.92</v>
          </cell>
          <cell r="F237">
            <v>303.91000000000037</v>
          </cell>
          <cell r="G237">
            <v>425.47</v>
          </cell>
        </row>
        <row r="238">
          <cell r="B238">
            <v>234</v>
          </cell>
          <cell r="C238">
            <v>502.80999999999921</v>
          </cell>
          <cell r="D238">
            <v>703.93</v>
          </cell>
          <cell r="F238">
            <v>305.21000000000038</v>
          </cell>
          <cell r="G238">
            <v>427.29</v>
          </cell>
        </row>
        <row r="239">
          <cell r="B239">
            <v>235</v>
          </cell>
          <cell r="C239">
            <v>504.95999999999918</v>
          </cell>
          <cell r="D239">
            <v>706.94</v>
          </cell>
          <cell r="F239">
            <v>306.51000000000039</v>
          </cell>
          <cell r="G239">
            <v>429.11</v>
          </cell>
        </row>
        <row r="240">
          <cell r="B240">
            <v>236</v>
          </cell>
          <cell r="C240">
            <v>507.10999999999916</v>
          </cell>
          <cell r="D240">
            <v>709.95</v>
          </cell>
          <cell r="F240">
            <v>307.8100000000004</v>
          </cell>
          <cell r="G240">
            <v>430.93</v>
          </cell>
        </row>
        <row r="241">
          <cell r="B241">
            <v>237</v>
          </cell>
          <cell r="C241">
            <v>509.25999999999914</v>
          </cell>
          <cell r="D241">
            <v>712.96</v>
          </cell>
          <cell r="F241">
            <v>309.11000000000041</v>
          </cell>
          <cell r="G241">
            <v>432.75</v>
          </cell>
        </row>
        <row r="242">
          <cell r="B242">
            <v>238</v>
          </cell>
          <cell r="C242">
            <v>511.40999999999912</v>
          </cell>
          <cell r="D242">
            <v>715.97</v>
          </cell>
          <cell r="F242">
            <v>310.41000000000042</v>
          </cell>
          <cell r="G242">
            <v>434.57</v>
          </cell>
        </row>
        <row r="243">
          <cell r="B243">
            <v>239</v>
          </cell>
          <cell r="C243">
            <v>513.55999999999915</v>
          </cell>
          <cell r="D243">
            <v>718.98</v>
          </cell>
          <cell r="F243">
            <v>311.71000000000043</v>
          </cell>
          <cell r="G243">
            <v>436.39</v>
          </cell>
        </row>
        <row r="244">
          <cell r="B244">
            <v>240</v>
          </cell>
          <cell r="C244">
            <v>515.70999999999913</v>
          </cell>
          <cell r="D244">
            <v>721.99</v>
          </cell>
          <cell r="F244">
            <v>313.01000000000045</v>
          </cell>
          <cell r="G244">
            <v>438.21</v>
          </cell>
        </row>
        <row r="245">
          <cell r="B245">
            <v>241</v>
          </cell>
          <cell r="C245">
            <v>517.8599999999991</v>
          </cell>
          <cell r="D245">
            <v>725</v>
          </cell>
          <cell r="F245">
            <v>314.31000000000046</v>
          </cell>
          <cell r="G245">
            <v>440.03</v>
          </cell>
        </row>
        <row r="246">
          <cell r="B246">
            <v>242</v>
          </cell>
          <cell r="C246">
            <v>520.00999999999908</v>
          </cell>
          <cell r="D246">
            <v>728.01</v>
          </cell>
          <cell r="F246">
            <v>315.61000000000047</v>
          </cell>
          <cell r="G246">
            <v>441.85</v>
          </cell>
        </row>
        <row r="247">
          <cell r="B247">
            <v>243</v>
          </cell>
          <cell r="C247">
            <v>522.15999999999906</v>
          </cell>
          <cell r="D247">
            <v>731.02</v>
          </cell>
          <cell r="F247">
            <v>316.91000000000048</v>
          </cell>
          <cell r="G247">
            <v>443.67</v>
          </cell>
        </row>
        <row r="248">
          <cell r="B248">
            <v>244</v>
          </cell>
          <cell r="C248">
            <v>524.30999999999904</v>
          </cell>
          <cell r="D248">
            <v>734.03</v>
          </cell>
          <cell r="F248">
            <v>318.21000000000049</v>
          </cell>
          <cell r="G248">
            <v>445.49</v>
          </cell>
        </row>
        <row r="249">
          <cell r="B249">
            <v>245</v>
          </cell>
          <cell r="C249">
            <v>526.45999999999901</v>
          </cell>
          <cell r="D249">
            <v>737.04</v>
          </cell>
          <cell r="F249">
            <v>319.5100000000005</v>
          </cell>
          <cell r="G249">
            <v>447.31</v>
          </cell>
        </row>
        <row r="250">
          <cell r="B250">
            <v>246</v>
          </cell>
          <cell r="C250">
            <v>528.60999999999899</v>
          </cell>
          <cell r="D250">
            <v>740.05</v>
          </cell>
          <cell r="F250">
            <v>320.81000000000051</v>
          </cell>
          <cell r="G250">
            <v>449.13</v>
          </cell>
        </row>
        <row r="251">
          <cell r="B251">
            <v>247</v>
          </cell>
          <cell r="C251">
            <v>530.75999999999897</v>
          </cell>
          <cell r="D251">
            <v>743.06</v>
          </cell>
          <cell r="F251">
            <v>322.11000000000053</v>
          </cell>
          <cell r="G251">
            <v>450.95</v>
          </cell>
        </row>
        <row r="252">
          <cell r="B252">
            <v>248</v>
          </cell>
          <cell r="C252">
            <v>532.90999999999894</v>
          </cell>
          <cell r="D252">
            <v>746.07</v>
          </cell>
          <cell r="F252">
            <v>323.41000000000054</v>
          </cell>
          <cell r="G252">
            <v>452.77</v>
          </cell>
        </row>
        <row r="253">
          <cell r="B253">
            <v>249</v>
          </cell>
          <cell r="C253">
            <v>535.05999999999892</v>
          </cell>
          <cell r="D253">
            <v>749.08</v>
          </cell>
          <cell r="F253">
            <v>324.71000000000055</v>
          </cell>
          <cell r="G253">
            <v>454.59</v>
          </cell>
        </row>
        <row r="254">
          <cell r="B254">
            <v>250</v>
          </cell>
          <cell r="C254">
            <v>537.2099999999989</v>
          </cell>
          <cell r="D254">
            <v>752.09</v>
          </cell>
          <cell r="F254">
            <v>326.01000000000056</v>
          </cell>
          <cell r="G254">
            <v>456.41</v>
          </cell>
        </row>
        <row r="255">
          <cell r="B255">
            <v>251</v>
          </cell>
          <cell r="C255">
            <v>539.35999999999888</v>
          </cell>
          <cell r="D255">
            <v>755.1</v>
          </cell>
          <cell r="F255">
            <v>327.31000000000057</v>
          </cell>
          <cell r="G255">
            <v>458.23</v>
          </cell>
        </row>
        <row r="256">
          <cell r="B256">
            <v>252</v>
          </cell>
          <cell r="C256">
            <v>541.50999999999885</v>
          </cell>
          <cell r="D256">
            <v>758.11</v>
          </cell>
          <cell r="F256">
            <v>328.61000000000058</v>
          </cell>
          <cell r="G256">
            <v>460.05</v>
          </cell>
        </row>
        <row r="257">
          <cell r="B257">
            <v>253</v>
          </cell>
          <cell r="C257">
            <v>543.65999999999883</v>
          </cell>
          <cell r="D257">
            <v>761.12</v>
          </cell>
          <cell r="F257">
            <v>329.91000000000059</v>
          </cell>
          <cell r="G257">
            <v>461.87</v>
          </cell>
        </row>
        <row r="258">
          <cell r="B258">
            <v>254</v>
          </cell>
          <cell r="C258">
            <v>545.80999999999881</v>
          </cell>
          <cell r="D258">
            <v>764.13</v>
          </cell>
          <cell r="F258">
            <v>331.2100000000006</v>
          </cell>
          <cell r="G258">
            <v>463.69</v>
          </cell>
        </row>
        <row r="259">
          <cell r="B259">
            <v>255</v>
          </cell>
          <cell r="C259">
            <v>547.95999999999879</v>
          </cell>
          <cell r="D259">
            <v>767.14</v>
          </cell>
          <cell r="F259">
            <v>332.51000000000062</v>
          </cell>
          <cell r="G259">
            <v>465.51</v>
          </cell>
        </row>
        <row r="260">
          <cell r="B260">
            <v>256</v>
          </cell>
          <cell r="C260">
            <v>550.10999999999876</v>
          </cell>
          <cell r="D260">
            <v>770.15</v>
          </cell>
          <cell r="F260">
            <v>333.81000000000063</v>
          </cell>
          <cell r="G260">
            <v>467.33</v>
          </cell>
        </row>
        <row r="261">
          <cell r="B261">
            <v>257</v>
          </cell>
          <cell r="C261">
            <v>552.25999999999874</v>
          </cell>
          <cell r="D261">
            <v>773.16</v>
          </cell>
          <cell r="F261">
            <v>335.11000000000064</v>
          </cell>
          <cell r="G261">
            <v>469.15</v>
          </cell>
        </row>
        <row r="262">
          <cell r="B262">
            <v>258</v>
          </cell>
          <cell r="C262">
            <v>554.40999999999872</v>
          </cell>
          <cell r="D262">
            <v>776.17</v>
          </cell>
          <cell r="F262">
            <v>336.41000000000065</v>
          </cell>
          <cell r="G262">
            <v>470.97</v>
          </cell>
        </row>
        <row r="263">
          <cell r="B263">
            <v>259</v>
          </cell>
          <cell r="C263">
            <v>556.55999999999869</v>
          </cell>
          <cell r="D263">
            <v>779.18</v>
          </cell>
          <cell r="F263">
            <v>337.71000000000066</v>
          </cell>
          <cell r="G263">
            <v>472.79</v>
          </cell>
        </row>
        <row r="264">
          <cell r="B264">
            <v>260</v>
          </cell>
          <cell r="C264">
            <v>558.70999999999867</v>
          </cell>
          <cell r="D264">
            <v>782.19</v>
          </cell>
          <cell r="F264">
            <v>339.01000000000067</v>
          </cell>
          <cell r="G264">
            <v>474.61</v>
          </cell>
        </row>
        <row r="265">
          <cell r="B265">
            <v>261</v>
          </cell>
          <cell r="C265">
            <v>560.85999999999865</v>
          </cell>
          <cell r="D265">
            <v>785.2</v>
          </cell>
          <cell r="F265">
            <v>340.31000000000068</v>
          </cell>
          <cell r="G265">
            <v>476.43</v>
          </cell>
        </row>
        <row r="266">
          <cell r="B266">
            <v>262</v>
          </cell>
          <cell r="C266">
            <v>563.00999999999863</v>
          </cell>
          <cell r="D266">
            <v>788.21</v>
          </cell>
          <cell r="F266">
            <v>341.6100000000007</v>
          </cell>
          <cell r="G266">
            <v>478.25</v>
          </cell>
        </row>
        <row r="267">
          <cell r="B267">
            <v>263</v>
          </cell>
          <cell r="C267">
            <v>565.1599999999986</v>
          </cell>
          <cell r="D267">
            <v>791.22</v>
          </cell>
          <cell r="F267">
            <v>342.91000000000071</v>
          </cell>
          <cell r="G267">
            <v>480.07</v>
          </cell>
        </row>
        <row r="268">
          <cell r="B268">
            <v>264</v>
          </cell>
          <cell r="C268">
            <v>567.30999999999858</v>
          </cell>
          <cell r="D268">
            <v>794.23</v>
          </cell>
          <cell r="F268">
            <v>344.21000000000072</v>
          </cell>
          <cell r="G268">
            <v>481.89</v>
          </cell>
        </row>
        <row r="269">
          <cell r="B269">
            <v>265</v>
          </cell>
          <cell r="C269">
            <v>569.45999999999856</v>
          </cell>
          <cell r="D269">
            <v>797.24</v>
          </cell>
          <cell r="F269">
            <v>345.51000000000073</v>
          </cell>
          <cell r="G269">
            <v>483.71</v>
          </cell>
        </row>
        <row r="270">
          <cell r="B270">
            <v>266</v>
          </cell>
          <cell r="C270">
            <v>571.60999999999854</v>
          </cell>
          <cell r="D270">
            <v>800.25</v>
          </cell>
          <cell r="F270">
            <v>346.81000000000074</v>
          </cell>
          <cell r="G270">
            <v>485.53</v>
          </cell>
        </row>
        <row r="271">
          <cell r="B271">
            <v>267</v>
          </cell>
          <cell r="C271">
            <v>573.75999999999851</v>
          </cell>
          <cell r="D271">
            <v>803.26</v>
          </cell>
          <cell r="F271">
            <v>348.11000000000075</v>
          </cell>
          <cell r="G271">
            <v>487.35</v>
          </cell>
        </row>
        <row r="272">
          <cell r="B272">
            <v>268</v>
          </cell>
          <cell r="C272">
            <v>575.90999999999849</v>
          </cell>
          <cell r="D272">
            <v>806.27</v>
          </cell>
          <cell r="F272">
            <v>349.41000000000076</v>
          </cell>
          <cell r="G272">
            <v>489.17</v>
          </cell>
        </row>
        <row r="273">
          <cell r="B273">
            <v>269</v>
          </cell>
          <cell r="C273">
            <v>578.05999999999847</v>
          </cell>
          <cell r="D273">
            <v>809.28</v>
          </cell>
          <cell r="F273">
            <v>350.71000000000078</v>
          </cell>
          <cell r="G273">
            <v>490.99</v>
          </cell>
        </row>
        <row r="274">
          <cell r="B274">
            <v>270</v>
          </cell>
          <cell r="C274">
            <v>580.20999999999844</v>
          </cell>
          <cell r="D274">
            <v>812.29</v>
          </cell>
          <cell r="F274">
            <v>352.01000000000079</v>
          </cell>
          <cell r="G274">
            <v>492.81</v>
          </cell>
        </row>
        <row r="275">
          <cell r="B275">
            <v>271</v>
          </cell>
          <cell r="C275">
            <v>582.35999999999842</v>
          </cell>
          <cell r="D275">
            <v>815.3</v>
          </cell>
          <cell r="F275">
            <v>353.3100000000008</v>
          </cell>
          <cell r="G275">
            <v>494.63</v>
          </cell>
        </row>
        <row r="276">
          <cell r="B276">
            <v>272</v>
          </cell>
          <cell r="C276">
            <v>584.5099999999984</v>
          </cell>
          <cell r="D276">
            <v>818.31</v>
          </cell>
          <cell r="F276">
            <v>354.61000000000081</v>
          </cell>
          <cell r="G276">
            <v>496.45</v>
          </cell>
        </row>
        <row r="277">
          <cell r="B277">
            <v>273</v>
          </cell>
          <cell r="C277">
            <v>586.65999999999838</v>
          </cell>
          <cell r="D277">
            <v>821.32</v>
          </cell>
          <cell r="F277">
            <v>355.91000000000082</v>
          </cell>
          <cell r="G277">
            <v>498.27</v>
          </cell>
        </row>
        <row r="278">
          <cell r="B278">
            <v>274</v>
          </cell>
          <cell r="C278">
            <v>588.80999999999835</v>
          </cell>
          <cell r="D278">
            <v>824.33</v>
          </cell>
          <cell r="F278">
            <v>357.21000000000083</v>
          </cell>
          <cell r="G278">
            <v>500.09</v>
          </cell>
        </row>
        <row r="279">
          <cell r="B279">
            <v>275</v>
          </cell>
          <cell r="C279">
            <v>590.95999999999833</v>
          </cell>
          <cell r="D279">
            <v>827.34</v>
          </cell>
          <cell r="F279">
            <v>358.51000000000084</v>
          </cell>
          <cell r="G279">
            <v>501.91</v>
          </cell>
        </row>
        <row r="280">
          <cell r="B280">
            <v>276</v>
          </cell>
          <cell r="C280">
            <v>593.10999999999831</v>
          </cell>
          <cell r="D280">
            <v>830.35</v>
          </cell>
          <cell r="F280">
            <v>359.81000000000085</v>
          </cell>
          <cell r="G280">
            <v>503.73</v>
          </cell>
        </row>
        <row r="281">
          <cell r="B281">
            <v>277</v>
          </cell>
          <cell r="C281">
            <v>595.25999999999829</v>
          </cell>
          <cell r="D281">
            <v>833.36</v>
          </cell>
          <cell r="F281">
            <v>361.11000000000087</v>
          </cell>
          <cell r="G281">
            <v>505.55</v>
          </cell>
        </row>
        <row r="282">
          <cell r="B282">
            <v>278</v>
          </cell>
          <cell r="C282">
            <v>597.40999999999826</v>
          </cell>
          <cell r="D282">
            <v>836.37</v>
          </cell>
          <cell r="F282">
            <v>362.41000000000088</v>
          </cell>
          <cell r="G282">
            <v>507.37</v>
          </cell>
        </row>
        <row r="283">
          <cell r="B283">
            <v>279</v>
          </cell>
          <cell r="C283">
            <v>599.55999999999824</v>
          </cell>
          <cell r="D283">
            <v>839.38</v>
          </cell>
          <cell r="F283">
            <v>363.71000000000089</v>
          </cell>
          <cell r="G283">
            <v>509.19</v>
          </cell>
        </row>
        <row r="284">
          <cell r="B284">
            <v>280</v>
          </cell>
          <cell r="C284">
            <v>601.70999999999822</v>
          </cell>
          <cell r="D284">
            <v>842.39</v>
          </cell>
          <cell r="F284">
            <v>365.0100000000009</v>
          </cell>
          <cell r="G284">
            <v>511.01</v>
          </cell>
        </row>
        <row r="285">
          <cell r="B285">
            <v>281</v>
          </cell>
          <cell r="C285">
            <v>603.85999999999819</v>
          </cell>
          <cell r="D285">
            <v>845.4</v>
          </cell>
          <cell r="F285">
            <v>366.31000000000091</v>
          </cell>
          <cell r="G285">
            <v>512.83000000000004</v>
          </cell>
        </row>
        <row r="286">
          <cell r="B286">
            <v>282</v>
          </cell>
          <cell r="C286">
            <v>606.00999999999817</v>
          </cell>
          <cell r="D286">
            <v>848.41</v>
          </cell>
          <cell r="F286">
            <v>367.61000000000092</v>
          </cell>
          <cell r="G286">
            <v>514.65</v>
          </cell>
        </row>
        <row r="287">
          <cell r="B287">
            <v>283</v>
          </cell>
          <cell r="C287">
            <v>608.15999999999815</v>
          </cell>
          <cell r="D287">
            <v>851.42</v>
          </cell>
          <cell r="F287">
            <v>368.91000000000093</v>
          </cell>
          <cell r="G287">
            <v>516.47</v>
          </cell>
        </row>
        <row r="288">
          <cell r="B288">
            <v>284</v>
          </cell>
          <cell r="C288">
            <v>610.30999999999813</v>
          </cell>
          <cell r="D288">
            <v>854.43</v>
          </cell>
          <cell r="F288">
            <v>370.21000000000095</v>
          </cell>
          <cell r="G288">
            <v>518.29</v>
          </cell>
        </row>
        <row r="289">
          <cell r="B289">
            <v>285</v>
          </cell>
          <cell r="C289">
            <v>612.4599999999981</v>
          </cell>
          <cell r="D289">
            <v>857.44</v>
          </cell>
          <cell r="F289">
            <v>371.51000000000096</v>
          </cell>
          <cell r="G289">
            <v>520.11</v>
          </cell>
        </row>
        <row r="290">
          <cell r="B290">
            <v>286</v>
          </cell>
          <cell r="C290">
            <v>614.60999999999808</v>
          </cell>
          <cell r="D290">
            <v>860.45</v>
          </cell>
          <cell r="F290">
            <v>372.81000000000097</v>
          </cell>
          <cell r="G290">
            <v>521.92999999999995</v>
          </cell>
        </row>
        <row r="291">
          <cell r="B291">
            <v>287</v>
          </cell>
          <cell r="C291">
            <v>616.75999999999806</v>
          </cell>
          <cell r="D291">
            <v>863.46</v>
          </cell>
          <cell r="F291">
            <v>374.11000000000098</v>
          </cell>
          <cell r="G291">
            <v>523.75</v>
          </cell>
        </row>
        <row r="292">
          <cell r="B292">
            <v>288</v>
          </cell>
          <cell r="C292">
            <v>618.90999999999804</v>
          </cell>
          <cell r="D292">
            <v>866.47</v>
          </cell>
          <cell r="F292">
            <v>375.41000000000099</v>
          </cell>
          <cell r="G292">
            <v>525.57000000000005</v>
          </cell>
        </row>
        <row r="293">
          <cell r="B293">
            <v>289</v>
          </cell>
          <cell r="C293">
            <v>621.05999999999801</v>
          </cell>
          <cell r="D293">
            <v>869.48</v>
          </cell>
          <cell r="F293">
            <v>376.710000000001</v>
          </cell>
          <cell r="G293">
            <v>527.39</v>
          </cell>
        </row>
        <row r="294">
          <cell r="B294">
            <v>290</v>
          </cell>
          <cell r="C294">
            <v>623.20999999999799</v>
          </cell>
          <cell r="D294">
            <v>872.49</v>
          </cell>
          <cell r="F294">
            <v>378.01000000000101</v>
          </cell>
          <cell r="G294">
            <v>529.21</v>
          </cell>
        </row>
        <row r="295">
          <cell r="B295">
            <v>291</v>
          </cell>
          <cell r="C295">
            <v>625.35999999999797</v>
          </cell>
          <cell r="D295">
            <v>875.5</v>
          </cell>
          <cell r="F295">
            <v>379.31000000000103</v>
          </cell>
          <cell r="G295">
            <v>531.03</v>
          </cell>
        </row>
        <row r="296">
          <cell r="B296">
            <v>292</v>
          </cell>
          <cell r="C296">
            <v>627.50999999999794</v>
          </cell>
          <cell r="D296">
            <v>878.51</v>
          </cell>
          <cell r="F296">
            <v>380.61000000000104</v>
          </cell>
          <cell r="G296">
            <v>532.85</v>
          </cell>
        </row>
        <row r="297">
          <cell r="B297">
            <v>293</v>
          </cell>
          <cell r="C297">
            <v>629.65999999999792</v>
          </cell>
          <cell r="D297">
            <v>881.52</v>
          </cell>
          <cell r="F297">
            <v>381.91000000000105</v>
          </cell>
          <cell r="G297">
            <v>534.66999999999996</v>
          </cell>
        </row>
        <row r="298">
          <cell r="B298">
            <v>294</v>
          </cell>
          <cell r="C298">
            <v>631.8099999999979</v>
          </cell>
          <cell r="D298">
            <v>884.53</v>
          </cell>
          <cell r="F298">
            <v>383.21000000000106</v>
          </cell>
          <cell r="G298">
            <v>536.49</v>
          </cell>
        </row>
        <row r="299">
          <cell r="B299">
            <v>295</v>
          </cell>
          <cell r="C299">
            <v>633.95999999999788</v>
          </cell>
          <cell r="D299">
            <v>887.54</v>
          </cell>
          <cell r="F299">
            <v>384.51000000000107</v>
          </cell>
          <cell r="G299">
            <v>538.30999999999995</v>
          </cell>
        </row>
        <row r="300">
          <cell r="B300">
            <v>296</v>
          </cell>
          <cell r="C300">
            <v>636.10999999999785</v>
          </cell>
          <cell r="D300">
            <v>890.55</v>
          </cell>
          <cell r="F300">
            <v>385.81000000000108</v>
          </cell>
          <cell r="G300">
            <v>540.13</v>
          </cell>
        </row>
        <row r="301">
          <cell r="B301">
            <v>297</v>
          </cell>
          <cell r="C301">
            <v>638.25999999999783</v>
          </cell>
          <cell r="D301">
            <v>893.56</v>
          </cell>
          <cell r="F301">
            <v>387.11000000000109</v>
          </cell>
          <cell r="G301">
            <v>541.95000000000005</v>
          </cell>
        </row>
        <row r="302">
          <cell r="B302">
            <v>298</v>
          </cell>
          <cell r="C302">
            <v>640.40999999999781</v>
          </cell>
          <cell r="D302">
            <v>896.57</v>
          </cell>
          <cell r="F302">
            <v>388.41000000000111</v>
          </cell>
          <cell r="G302">
            <v>543.77</v>
          </cell>
        </row>
        <row r="303">
          <cell r="B303">
            <v>299</v>
          </cell>
          <cell r="C303">
            <v>642.55999999999779</v>
          </cell>
          <cell r="D303">
            <v>899.58</v>
          </cell>
          <cell r="F303">
            <v>389.71000000000112</v>
          </cell>
          <cell r="G303">
            <v>545.59</v>
          </cell>
        </row>
        <row r="304">
          <cell r="B304">
            <v>300</v>
          </cell>
          <cell r="C304">
            <v>644.70999999999776</v>
          </cell>
          <cell r="D304">
            <v>902.59</v>
          </cell>
          <cell r="F304">
            <v>391.01000000000113</v>
          </cell>
          <cell r="G304">
            <v>547.41</v>
          </cell>
        </row>
        <row r="305">
          <cell r="B305">
            <v>301</v>
          </cell>
          <cell r="C305">
            <v>646.85999999999774</v>
          </cell>
          <cell r="D305">
            <v>905.6</v>
          </cell>
          <cell r="F305">
            <v>392.31000000000114</v>
          </cell>
          <cell r="G305">
            <v>549.23</v>
          </cell>
        </row>
        <row r="306">
          <cell r="B306">
            <v>302</v>
          </cell>
          <cell r="C306">
            <v>649.00999999999772</v>
          </cell>
          <cell r="D306">
            <v>908.61</v>
          </cell>
          <cell r="F306">
            <v>393.61000000000115</v>
          </cell>
          <cell r="G306">
            <v>551.04999999999995</v>
          </cell>
        </row>
        <row r="307">
          <cell r="B307">
            <v>303</v>
          </cell>
          <cell r="C307">
            <v>651.15999999999769</v>
          </cell>
          <cell r="D307">
            <v>911.62</v>
          </cell>
          <cell r="F307">
            <v>394.91000000000116</v>
          </cell>
          <cell r="G307">
            <v>552.87</v>
          </cell>
        </row>
        <row r="308">
          <cell r="B308">
            <v>304</v>
          </cell>
          <cell r="C308">
            <v>653.30999999999767</v>
          </cell>
          <cell r="D308">
            <v>914.63</v>
          </cell>
          <cell r="F308">
            <v>396.21000000000117</v>
          </cell>
          <cell r="G308">
            <v>554.69000000000005</v>
          </cell>
        </row>
        <row r="309">
          <cell r="B309">
            <v>305</v>
          </cell>
          <cell r="C309">
            <v>655.45999999999765</v>
          </cell>
          <cell r="D309">
            <v>917.64</v>
          </cell>
          <cell r="F309">
            <v>397.51000000000118</v>
          </cell>
          <cell r="G309">
            <v>556.51</v>
          </cell>
        </row>
        <row r="310">
          <cell r="B310">
            <v>306</v>
          </cell>
          <cell r="C310">
            <v>657.60999999999763</v>
          </cell>
          <cell r="D310">
            <v>920.65</v>
          </cell>
          <cell r="F310">
            <v>398.8100000000012</v>
          </cell>
          <cell r="G310">
            <v>558.33000000000004</v>
          </cell>
        </row>
        <row r="311">
          <cell r="B311">
            <v>307</v>
          </cell>
          <cell r="C311">
            <v>659.7599999999976</v>
          </cell>
          <cell r="D311">
            <v>923.66</v>
          </cell>
          <cell r="F311">
            <v>400.11000000000121</v>
          </cell>
          <cell r="G311">
            <v>560.15</v>
          </cell>
        </row>
        <row r="312">
          <cell r="B312">
            <v>308</v>
          </cell>
          <cell r="C312">
            <v>661.90999999999758</v>
          </cell>
          <cell r="D312">
            <v>926.67</v>
          </cell>
          <cell r="F312">
            <v>401.41000000000122</v>
          </cell>
          <cell r="G312">
            <v>561.97</v>
          </cell>
        </row>
        <row r="313">
          <cell r="B313">
            <v>309</v>
          </cell>
          <cell r="C313">
            <v>664.05999999999756</v>
          </cell>
          <cell r="D313">
            <v>929.68</v>
          </cell>
          <cell r="F313">
            <v>402.71000000000123</v>
          </cell>
          <cell r="G313">
            <v>563.79</v>
          </cell>
        </row>
        <row r="314">
          <cell r="B314">
            <v>310</v>
          </cell>
          <cell r="C314">
            <v>666.20999999999754</v>
          </cell>
          <cell r="D314">
            <v>932.69</v>
          </cell>
          <cell r="F314">
            <v>404.01000000000124</v>
          </cell>
          <cell r="G314">
            <v>565.61</v>
          </cell>
        </row>
        <row r="315">
          <cell r="B315">
            <v>311</v>
          </cell>
          <cell r="C315">
            <v>668.35999999999751</v>
          </cell>
          <cell r="D315">
            <v>935.7</v>
          </cell>
          <cell r="F315">
            <v>405.31000000000125</v>
          </cell>
          <cell r="G315">
            <v>567.42999999999995</v>
          </cell>
        </row>
        <row r="316">
          <cell r="B316">
            <v>312</v>
          </cell>
          <cell r="C316">
            <v>670.50999999999749</v>
          </cell>
          <cell r="D316">
            <v>938.71</v>
          </cell>
          <cell r="F316">
            <v>406.61000000000126</v>
          </cell>
          <cell r="G316">
            <v>569.25</v>
          </cell>
        </row>
        <row r="317">
          <cell r="B317">
            <v>313</v>
          </cell>
          <cell r="C317">
            <v>672.65999999999747</v>
          </cell>
          <cell r="D317">
            <v>941.72</v>
          </cell>
          <cell r="F317">
            <v>407.91000000000128</v>
          </cell>
          <cell r="G317">
            <v>571.07000000000005</v>
          </cell>
        </row>
        <row r="318">
          <cell r="B318">
            <v>314</v>
          </cell>
          <cell r="C318">
            <v>674.80999999999744</v>
          </cell>
          <cell r="D318">
            <v>944.73</v>
          </cell>
          <cell r="F318">
            <v>409.21000000000129</v>
          </cell>
          <cell r="G318">
            <v>572.89</v>
          </cell>
        </row>
        <row r="319">
          <cell r="B319">
            <v>315</v>
          </cell>
          <cell r="C319">
            <v>676.95999999999742</v>
          </cell>
          <cell r="D319">
            <v>947.74</v>
          </cell>
          <cell r="F319">
            <v>410.5100000000013</v>
          </cell>
          <cell r="G319">
            <v>574.71</v>
          </cell>
        </row>
        <row r="320">
          <cell r="B320">
            <v>316</v>
          </cell>
          <cell r="C320">
            <v>679.1099999999974</v>
          </cell>
          <cell r="D320">
            <v>950.75</v>
          </cell>
          <cell r="F320">
            <v>411.81000000000131</v>
          </cell>
          <cell r="G320">
            <v>576.53</v>
          </cell>
        </row>
        <row r="321">
          <cell r="B321">
            <v>317</v>
          </cell>
          <cell r="C321">
            <v>681.25999999999738</v>
          </cell>
          <cell r="D321">
            <v>953.76</v>
          </cell>
          <cell r="F321">
            <v>413.11000000000132</v>
          </cell>
          <cell r="G321">
            <v>578.35</v>
          </cell>
        </row>
        <row r="322">
          <cell r="B322">
            <v>318</v>
          </cell>
          <cell r="C322">
            <v>683.40999999999735</v>
          </cell>
          <cell r="D322">
            <v>956.77</v>
          </cell>
          <cell r="F322">
            <v>414.41000000000133</v>
          </cell>
          <cell r="G322">
            <v>580.16999999999996</v>
          </cell>
        </row>
        <row r="323">
          <cell r="B323">
            <v>319</v>
          </cell>
          <cell r="C323">
            <v>685.55999999999733</v>
          </cell>
          <cell r="D323">
            <v>959.78</v>
          </cell>
          <cell r="F323">
            <v>415.71000000000134</v>
          </cell>
          <cell r="G323">
            <v>581.99</v>
          </cell>
        </row>
        <row r="324">
          <cell r="B324">
            <v>320</v>
          </cell>
          <cell r="C324">
            <v>687.70999999999731</v>
          </cell>
          <cell r="D324">
            <v>962.79</v>
          </cell>
          <cell r="F324">
            <v>417.01000000000136</v>
          </cell>
          <cell r="G324">
            <v>583.80999999999995</v>
          </cell>
        </row>
        <row r="325">
          <cell r="B325">
            <v>321</v>
          </cell>
          <cell r="C325">
            <v>689.85999999999729</v>
          </cell>
          <cell r="D325">
            <v>965.8</v>
          </cell>
          <cell r="F325">
            <v>418.31000000000137</v>
          </cell>
          <cell r="G325">
            <v>585.63</v>
          </cell>
        </row>
        <row r="326">
          <cell r="B326">
            <v>322</v>
          </cell>
          <cell r="C326">
            <v>692.00999999999726</v>
          </cell>
          <cell r="D326">
            <v>968.81</v>
          </cell>
          <cell r="F326">
            <v>419.61000000000138</v>
          </cell>
          <cell r="G326">
            <v>587.45000000000005</v>
          </cell>
        </row>
        <row r="327">
          <cell r="B327">
            <v>323</v>
          </cell>
          <cell r="C327">
            <v>694.15999999999724</v>
          </cell>
          <cell r="D327">
            <v>971.82</v>
          </cell>
          <cell r="F327">
            <v>420.91000000000139</v>
          </cell>
          <cell r="G327">
            <v>589.27</v>
          </cell>
        </row>
        <row r="328">
          <cell r="B328">
            <v>324</v>
          </cell>
          <cell r="C328">
            <v>696.30999999999722</v>
          </cell>
          <cell r="D328">
            <v>974.83</v>
          </cell>
          <cell r="F328">
            <v>422.2100000000014</v>
          </cell>
          <cell r="G328">
            <v>591.09</v>
          </cell>
        </row>
        <row r="329">
          <cell r="B329">
            <v>325</v>
          </cell>
          <cell r="C329">
            <v>698.45999999999719</v>
          </cell>
          <cell r="D329">
            <v>977.84</v>
          </cell>
          <cell r="F329">
            <v>423.51000000000141</v>
          </cell>
          <cell r="G329">
            <v>592.91</v>
          </cell>
        </row>
        <row r="330">
          <cell r="B330">
            <v>326</v>
          </cell>
          <cell r="C330">
            <v>700.60999999999717</v>
          </cell>
          <cell r="D330">
            <v>980.85</v>
          </cell>
          <cell r="F330">
            <v>424.81000000000142</v>
          </cell>
          <cell r="G330">
            <v>594.73</v>
          </cell>
        </row>
        <row r="331">
          <cell r="B331">
            <v>327</v>
          </cell>
          <cell r="C331">
            <v>702.75999999999715</v>
          </cell>
          <cell r="D331">
            <v>983.86</v>
          </cell>
          <cell r="F331">
            <v>426.11000000000143</v>
          </cell>
          <cell r="G331">
            <v>596.54999999999995</v>
          </cell>
        </row>
        <row r="332">
          <cell r="B332">
            <v>328</v>
          </cell>
          <cell r="C332">
            <v>704.90999999999713</v>
          </cell>
          <cell r="D332">
            <v>986.87</v>
          </cell>
          <cell r="F332">
            <v>427.41000000000145</v>
          </cell>
          <cell r="G332">
            <v>598.37</v>
          </cell>
        </row>
        <row r="333">
          <cell r="B333">
            <v>329</v>
          </cell>
          <cell r="C333">
            <v>707.0599999999971</v>
          </cell>
          <cell r="D333">
            <v>989.88</v>
          </cell>
          <cell r="F333">
            <v>428.71000000000146</v>
          </cell>
          <cell r="G333">
            <v>600.19000000000005</v>
          </cell>
        </row>
        <row r="334">
          <cell r="B334">
            <v>330</v>
          </cell>
          <cell r="C334">
            <v>709.20999999999708</v>
          </cell>
          <cell r="D334">
            <v>992.89</v>
          </cell>
          <cell r="F334">
            <v>430.01000000000147</v>
          </cell>
          <cell r="G334">
            <v>602.01</v>
          </cell>
        </row>
        <row r="335">
          <cell r="B335">
            <v>331</v>
          </cell>
          <cell r="C335">
            <v>711.35999999999706</v>
          </cell>
          <cell r="D335">
            <v>995.9</v>
          </cell>
          <cell r="F335">
            <v>431.31000000000148</v>
          </cell>
          <cell r="G335">
            <v>603.83000000000004</v>
          </cell>
        </row>
        <row r="336">
          <cell r="B336">
            <v>332</v>
          </cell>
          <cell r="C336">
            <v>713.50999999999704</v>
          </cell>
          <cell r="D336">
            <v>998.91</v>
          </cell>
          <cell r="F336">
            <v>432.61000000000149</v>
          </cell>
          <cell r="G336">
            <v>605.65</v>
          </cell>
        </row>
        <row r="337">
          <cell r="B337">
            <v>333</v>
          </cell>
          <cell r="C337">
            <v>715.65999999999701</v>
          </cell>
          <cell r="D337">
            <v>1001.92</v>
          </cell>
          <cell r="F337">
            <v>433.9100000000015</v>
          </cell>
          <cell r="G337">
            <v>607.47</v>
          </cell>
        </row>
        <row r="338">
          <cell r="B338">
            <v>334</v>
          </cell>
          <cell r="C338">
            <v>717.80999999999699</v>
          </cell>
          <cell r="D338">
            <v>1004.93</v>
          </cell>
          <cell r="F338">
            <v>435.21000000000151</v>
          </cell>
          <cell r="G338">
            <v>609.29</v>
          </cell>
        </row>
        <row r="339">
          <cell r="B339">
            <v>335</v>
          </cell>
          <cell r="C339">
            <v>719.95999999999697</v>
          </cell>
          <cell r="D339">
            <v>1007.94</v>
          </cell>
          <cell r="F339">
            <v>436.51000000000153</v>
          </cell>
          <cell r="G339">
            <v>611.11</v>
          </cell>
        </row>
        <row r="340">
          <cell r="B340">
            <v>336</v>
          </cell>
          <cell r="C340">
            <v>722.10999999999694</v>
          </cell>
          <cell r="D340">
            <v>1010.95</v>
          </cell>
          <cell r="F340">
            <v>437.81000000000154</v>
          </cell>
          <cell r="G340">
            <v>612.92999999999995</v>
          </cell>
        </row>
        <row r="341">
          <cell r="B341">
            <v>337</v>
          </cell>
          <cell r="C341">
            <v>724.25999999999692</v>
          </cell>
          <cell r="D341">
            <v>1013.96</v>
          </cell>
          <cell r="F341">
            <v>439.11000000000155</v>
          </cell>
          <cell r="G341">
            <v>614.75</v>
          </cell>
        </row>
        <row r="342">
          <cell r="B342">
            <v>338</v>
          </cell>
          <cell r="C342">
            <v>726.4099999999969</v>
          </cell>
          <cell r="D342">
            <v>1016.97</v>
          </cell>
          <cell r="F342">
            <v>440.41000000000156</v>
          </cell>
          <cell r="G342">
            <v>616.57000000000005</v>
          </cell>
        </row>
        <row r="343">
          <cell r="B343">
            <v>339</v>
          </cell>
          <cell r="C343">
            <v>728.55999999999688</v>
          </cell>
          <cell r="D343">
            <v>1019.98</v>
          </cell>
          <cell r="F343">
            <v>441.71000000000157</v>
          </cell>
          <cell r="G343">
            <v>618.39</v>
          </cell>
        </row>
        <row r="344">
          <cell r="B344">
            <v>340</v>
          </cell>
          <cell r="C344">
            <v>730.70999999999685</v>
          </cell>
          <cell r="D344">
            <v>1022.99</v>
          </cell>
          <cell r="F344">
            <v>443.01000000000158</v>
          </cell>
          <cell r="G344">
            <v>620.21</v>
          </cell>
        </row>
        <row r="345">
          <cell r="B345">
            <v>341</v>
          </cell>
          <cell r="C345">
            <v>732.85999999999683</v>
          </cell>
          <cell r="D345">
            <v>1026</v>
          </cell>
          <cell r="F345">
            <v>444.31000000000159</v>
          </cell>
          <cell r="G345">
            <v>622.03</v>
          </cell>
        </row>
        <row r="346">
          <cell r="B346">
            <v>342</v>
          </cell>
          <cell r="C346">
            <v>735.00999999999681</v>
          </cell>
          <cell r="D346">
            <v>1029.01</v>
          </cell>
          <cell r="F346">
            <v>445.61000000000161</v>
          </cell>
          <cell r="G346">
            <v>623.85</v>
          </cell>
        </row>
        <row r="347">
          <cell r="B347">
            <v>343</v>
          </cell>
          <cell r="C347">
            <v>737.15999999999678</v>
          </cell>
          <cell r="D347">
            <v>1032.02</v>
          </cell>
          <cell r="F347">
            <v>446.91000000000162</v>
          </cell>
          <cell r="G347">
            <v>625.66999999999996</v>
          </cell>
        </row>
        <row r="348">
          <cell r="B348">
            <v>344</v>
          </cell>
          <cell r="C348">
            <v>739.30999999999676</v>
          </cell>
          <cell r="D348">
            <v>1035.03</v>
          </cell>
          <cell r="F348">
            <v>448.21000000000163</v>
          </cell>
          <cell r="G348">
            <v>627.49</v>
          </cell>
        </row>
        <row r="349">
          <cell r="B349">
            <v>345</v>
          </cell>
          <cell r="C349">
            <v>741.45999999999674</v>
          </cell>
          <cell r="D349">
            <v>1038.04</v>
          </cell>
          <cell r="F349">
            <v>449.51000000000164</v>
          </cell>
          <cell r="G349">
            <v>629.30999999999995</v>
          </cell>
        </row>
        <row r="350">
          <cell r="B350">
            <v>346</v>
          </cell>
          <cell r="C350">
            <v>743.60999999999672</v>
          </cell>
          <cell r="D350">
            <v>1041.05</v>
          </cell>
          <cell r="F350">
            <v>450.81000000000165</v>
          </cell>
          <cell r="G350">
            <v>631.13</v>
          </cell>
        </row>
        <row r="351">
          <cell r="B351">
            <v>347</v>
          </cell>
          <cell r="C351">
            <v>745.75999999999669</v>
          </cell>
          <cell r="D351">
            <v>1044.06</v>
          </cell>
          <cell r="F351">
            <v>452.11000000000166</v>
          </cell>
          <cell r="G351">
            <v>632.95000000000005</v>
          </cell>
        </row>
        <row r="352">
          <cell r="B352">
            <v>348</v>
          </cell>
          <cell r="C352">
            <v>747.90999999999667</v>
          </cell>
          <cell r="D352">
            <v>1047.07</v>
          </cell>
          <cell r="F352">
            <v>453.41000000000167</v>
          </cell>
          <cell r="G352">
            <v>634.77</v>
          </cell>
        </row>
        <row r="353">
          <cell r="B353">
            <v>349</v>
          </cell>
          <cell r="C353">
            <v>750.05999999999665</v>
          </cell>
          <cell r="D353">
            <v>1050.08</v>
          </cell>
          <cell r="F353">
            <v>454.71000000000168</v>
          </cell>
          <cell r="G353">
            <v>636.59</v>
          </cell>
        </row>
        <row r="354">
          <cell r="B354">
            <v>350</v>
          </cell>
          <cell r="C354">
            <v>752.20999999999663</v>
          </cell>
          <cell r="D354">
            <v>1053.0899999999999</v>
          </cell>
          <cell r="F354">
            <v>456.0100000000017</v>
          </cell>
          <cell r="G354">
            <v>638.41</v>
          </cell>
        </row>
        <row r="355">
          <cell r="B355">
            <v>351</v>
          </cell>
          <cell r="C355">
            <v>754.3599999999966</v>
          </cell>
          <cell r="D355">
            <v>1056.0999999999999</v>
          </cell>
          <cell r="F355">
            <v>457.31000000000171</v>
          </cell>
          <cell r="G355">
            <v>640.23</v>
          </cell>
        </row>
        <row r="356">
          <cell r="B356">
            <v>352</v>
          </cell>
          <cell r="C356">
            <v>756.50999999999658</v>
          </cell>
          <cell r="D356">
            <v>1059.1099999999999</v>
          </cell>
          <cell r="F356">
            <v>458.61000000000172</v>
          </cell>
          <cell r="G356">
            <v>642.04999999999995</v>
          </cell>
        </row>
        <row r="357">
          <cell r="B357">
            <v>353</v>
          </cell>
          <cell r="C357">
            <v>758.65999999999656</v>
          </cell>
          <cell r="D357">
            <v>1062.1199999999999</v>
          </cell>
          <cell r="F357">
            <v>459.91000000000173</v>
          </cell>
          <cell r="G357">
            <v>643.87</v>
          </cell>
        </row>
        <row r="358">
          <cell r="B358">
            <v>354</v>
          </cell>
          <cell r="C358">
            <v>760.80999999999653</v>
          </cell>
          <cell r="D358">
            <v>1065.1300000000001</v>
          </cell>
          <cell r="F358">
            <v>461.21000000000174</v>
          </cell>
          <cell r="G358">
            <v>645.69000000000005</v>
          </cell>
        </row>
        <row r="359">
          <cell r="B359">
            <v>355</v>
          </cell>
          <cell r="C359">
            <v>762.95999999999651</v>
          </cell>
          <cell r="D359">
            <v>1068.1400000000001</v>
          </cell>
          <cell r="F359">
            <v>462.51000000000175</v>
          </cell>
          <cell r="G359">
            <v>647.51</v>
          </cell>
        </row>
        <row r="360">
          <cell r="B360">
            <v>356</v>
          </cell>
          <cell r="C360">
            <v>765.10999999999649</v>
          </cell>
          <cell r="D360">
            <v>1071.1500000000001</v>
          </cell>
          <cell r="F360">
            <v>463.81000000000176</v>
          </cell>
          <cell r="G360">
            <v>649.33000000000004</v>
          </cell>
        </row>
        <row r="361">
          <cell r="B361">
            <v>357</v>
          </cell>
          <cell r="C361">
            <v>767.25999999999647</v>
          </cell>
          <cell r="D361">
            <v>1074.1600000000001</v>
          </cell>
          <cell r="F361">
            <v>465.11000000000178</v>
          </cell>
          <cell r="G361">
            <v>651.15</v>
          </cell>
        </row>
        <row r="362">
          <cell r="B362">
            <v>358</v>
          </cell>
          <cell r="C362">
            <v>769.40999999999644</v>
          </cell>
          <cell r="D362">
            <v>1077.17</v>
          </cell>
          <cell r="F362">
            <v>466.41000000000179</v>
          </cell>
          <cell r="G362">
            <v>652.97</v>
          </cell>
        </row>
        <row r="363">
          <cell r="B363">
            <v>359</v>
          </cell>
          <cell r="C363">
            <v>771.55999999999642</v>
          </cell>
          <cell r="D363">
            <v>1080.18</v>
          </cell>
          <cell r="F363">
            <v>467.7100000000018</v>
          </cell>
          <cell r="G363">
            <v>654.79</v>
          </cell>
        </row>
        <row r="364">
          <cell r="B364">
            <v>360</v>
          </cell>
          <cell r="C364">
            <v>773.7099999999964</v>
          </cell>
          <cell r="D364">
            <v>1083.19</v>
          </cell>
          <cell r="F364">
            <v>469.01000000000181</v>
          </cell>
          <cell r="G364">
            <v>656.61</v>
          </cell>
        </row>
        <row r="365">
          <cell r="B365">
            <v>361</v>
          </cell>
          <cell r="C365">
            <v>775.85999999999638</v>
          </cell>
          <cell r="D365">
            <v>1086.2</v>
          </cell>
          <cell r="F365">
            <v>470.31000000000182</v>
          </cell>
          <cell r="G365">
            <v>658.43</v>
          </cell>
        </row>
        <row r="366">
          <cell r="B366">
            <v>362</v>
          </cell>
          <cell r="C366">
            <v>778.00999999999635</v>
          </cell>
          <cell r="D366">
            <v>1089.21</v>
          </cell>
          <cell r="F366">
            <v>471.61000000000183</v>
          </cell>
          <cell r="G366">
            <v>660.25</v>
          </cell>
        </row>
        <row r="367">
          <cell r="B367">
            <v>363</v>
          </cell>
          <cell r="C367">
            <v>780.15999999999633</v>
          </cell>
          <cell r="D367">
            <v>1092.22</v>
          </cell>
          <cell r="F367">
            <v>472.91000000000184</v>
          </cell>
          <cell r="G367">
            <v>662.07</v>
          </cell>
        </row>
        <row r="368">
          <cell r="B368">
            <v>364</v>
          </cell>
          <cell r="C368">
            <v>782.30999999999631</v>
          </cell>
          <cell r="D368">
            <v>1095.23</v>
          </cell>
          <cell r="F368">
            <v>474.21000000000186</v>
          </cell>
          <cell r="G368">
            <v>663.89</v>
          </cell>
        </row>
        <row r="369">
          <cell r="B369">
            <v>365</v>
          </cell>
          <cell r="C369">
            <v>784.45999999999628</v>
          </cell>
          <cell r="D369">
            <v>1098.24</v>
          </cell>
          <cell r="F369">
            <v>475.51000000000187</v>
          </cell>
          <cell r="G369">
            <v>665.71</v>
          </cell>
        </row>
        <row r="370">
          <cell r="B370">
            <v>366</v>
          </cell>
          <cell r="C370">
            <v>786.60999999999626</v>
          </cell>
          <cell r="D370">
            <v>1101.25</v>
          </cell>
          <cell r="F370">
            <v>476.81000000000188</v>
          </cell>
          <cell r="G370">
            <v>667.53</v>
          </cell>
        </row>
        <row r="371">
          <cell r="B371">
            <v>367</v>
          </cell>
          <cell r="C371">
            <v>788.75999999999624</v>
          </cell>
          <cell r="D371">
            <v>1104.26</v>
          </cell>
          <cell r="F371">
            <v>478.11000000000189</v>
          </cell>
          <cell r="G371">
            <v>669.35</v>
          </cell>
        </row>
        <row r="372">
          <cell r="B372">
            <v>368</v>
          </cell>
          <cell r="C372">
            <v>790.90999999999622</v>
          </cell>
          <cell r="D372">
            <v>1107.27</v>
          </cell>
          <cell r="F372">
            <v>479.4100000000019</v>
          </cell>
          <cell r="G372">
            <v>671.17</v>
          </cell>
        </row>
        <row r="373">
          <cell r="B373">
            <v>369</v>
          </cell>
          <cell r="C373">
            <v>793.05999999999619</v>
          </cell>
          <cell r="D373">
            <v>1110.28</v>
          </cell>
          <cell r="F373">
            <v>480.71000000000191</v>
          </cell>
          <cell r="G373">
            <v>672.99</v>
          </cell>
        </row>
        <row r="374">
          <cell r="B374">
            <v>370</v>
          </cell>
          <cell r="C374">
            <v>795.20999999999617</v>
          </cell>
          <cell r="D374">
            <v>1113.29</v>
          </cell>
          <cell r="F374">
            <v>482.01000000000192</v>
          </cell>
          <cell r="G374">
            <v>674.81</v>
          </cell>
        </row>
        <row r="375">
          <cell r="B375">
            <v>371</v>
          </cell>
          <cell r="C375">
            <v>797.35999999999615</v>
          </cell>
          <cell r="D375">
            <v>1116.3</v>
          </cell>
          <cell r="F375">
            <v>483.31000000000193</v>
          </cell>
          <cell r="G375">
            <v>676.63</v>
          </cell>
        </row>
        <row r="376">
          <cell r="B376">
            <v>372</v>
          </cell>
          <cell r="C376">
            <v>799.50999999999613</v>
          </cell>
          <cell r="D376">
            <v>1119.31</v>
          </cell>
          <cell r="F376">
            <v>484.61000000000195</v>
          </cell>
          <cell r="G376">
            <v>678.45</v>
          </cell>
        </row>
        <row r="377">
          <cell r="B377">
            <v>373</v>
          </cell>
          <cell r="C377">
            <v>801.6599999999961</v>
          </cell>
          <cell r="D377">
            <v>1122.32</v>
          </cell>
          <cell r="F377">
            <v>485.91000000000196</v>
          </cell>
          <cell r="G377">
            <v>680.27</v>
          </cell>
        </row>
        <row r="378">
          <cell r="B378">
            <v>374</v>
          </cell>
          <cell r="C378">
            <v>803.80999999999608</v>
          </cell>
          <cell r="D378">
            <v>1125.33</v>
          </cell>
          <cell r="F378">
            <v>487.21000000000197</v>
          </cell>
          <cell r="G378">
            <v>682.09</v>
          </cell>
        </row>
        <row r="379">
          <cell r="B379">
            <v>375</v>
          </cell>
          <cell r="C379">
            <v>805.95999999999606</v>
          </cell>
          <cell r="D379">
            <v>1128.3399999999999</v>
          </cell>
          <cell r="F379">
            <v>488.51000000000198</v>
          </cell>
          <cell r="G379">
            <v>683.91</v>
          </cell>
        </row>
        <row r="380">
          <cell r="B380">
            <v>376</v>
          </cell>
          <cell r="C380">
            <v>808.10999999999603</v>
          </cell>
          <cell r="D380">
            <v>1131.3499999999999</v>
          </cell>
          <cell r="F380">
            <v>489.81000000000199</v>
          </cell>
          <cell r="G380">
            <v>685.73</v>
          </cell>
        </row>
        <row r="381">
          <cell r="B381">
            <v>377</v>
          </cell>
          <cell r="C381">
            <v>810.25999999999601</v>
          </cell>
          <cell r="D381">
            <v>1134.3599999999999</v>
          </cell>
          <cell r="F381">
            <v>491.110000000002</v>
          </cell>
          <cell r="G381">
            <v>687.55</v>
          </cell>
        </row>
        <row r="382">
          <cell r="B382">
            <v>378</v>
          </cell>
          <cell r="C382">
            <v>812.40999999999599</v>
          </cell>
          <cell r="D382">
            <v>1137.3699999999999</v>
          </cell>
          <cell r="F382">
            <v>492.41000000000201</v>
          </cell>
          <cell r="G382">
            <v>689.37</v>
          </cell>
        </row>
        <row r="383">
          <cell r="B383">
            <v>379</v>
          </cell>
          <cell r="C383">
            <v>814.55999999999597</v>
          </cell>
          <cell r="D383">
            <v>1140.3800000000001</v>
          </cell>
          <cell r="F383">
            <v>493.71000000000203</v>
          </cell>
          <cell r="G383">
            <v>691.19</v>
          </cell>
        </row>
        <row r="384">
          <cell r="B384">
            <v>380</v>
          </cell>
          <cell r="C384">
            <v>816.70999999999594</v>
          </cell>
          <cell r="D384">
            <v>1143.3900000000001</v>
          </cell>
          <cell r="F384">
            <v>495.01000000000204</v>
          </cell>
          <cell r="G384">
            <v>693.01</v>
          </cell>
        </row>
        <row r="385">
          <cell r="B385">
            <v>381</v>
          </cell>
          <cell r="C385">
            <v>818.85999999999592</v>
          </cell>
          <cell r="D385">
            <v>1146.4000000000001</v>
          </cell>
          <cell r="F385">
            <v>496.31000000000205</v>
          </cell>
          <cell r="G385">
            <v>694.83</v>
          </cell>
        </row>
        <row r="386">
          <cell r="B386">
            <v>382</v>
          </cell>
          <cell r="C386">
            <v>821.0099999999959</v>
          </cell>
          <cell r="D386">
            <v>1149.4100000000001</v>
          </cell>
          <cell r="F386">
            <v>497.61000000000206</v>
          </cell>
          <cell r="G386">
            <v>696.65</v>
          </cell>
        </row>
        <row r="387">
          <cell r="B387">
            <v>383</v>
          </cell>
          <cell r="C387">
            <v>823.15999999999588</v>
          </cell>
          <cell r="D387">
            <v>1152.42</v>
          </cell>
          <cell r="F387">
            <v>498.91000000000207</v>
          </cell>
          <cell r="G387">
            <v>698.47</v>
          </cell>
        </row>
        <row r="388">
          <cell r="B388">
            <v>384</v>
          </cell>
          <cell r="C388">
            <v>825.30999999999585</v>
          </cell>
          <cell r="D388">
            <v>1155.43</v>
          </cell>
          <cell r="F388">
            <v>500.21000000000208</v>
          </cell>
          <cell r="G388">
            <v>700.29</v>
          </cell>
        </row>
        <row r="389">
          <cell r="B389">
            <v>385</v>
          </cell>
          <cell r="C389">
            <v>827.45999999999583</v>
          </cell>
          <cell r="D389">
            <v>1158.44</v>
          </cell>
          <cell r="F389">
            <v>501.51000000000209</v>
          </cell>
          <cell r="G389">
            <v>702.11</v>
          </cell>
        </row>
        <row r="390">
          <cell r="B390">
            <v>386</v>
          </cell>
          <cell r="C390">
            <v>829.60999999999581</v>
          </cell>
          <cell r="D390">
            <v>1161.45</v>
          </cell>
          <cell r="F390">
            <v>502.81000000000211</v>
          </cell>
          <cell r="G390">
            <v>703.93</v>
          </cell>
        </row>
        <row r="391">
          <cell r="B391">
            <v>387</v>
          </cell>
          <cell r="C391">
            <v>831.75999999999578</v>
          </cell>
          <cell r="D391">
            <v>1164.46</v>
          </cell>
          <cell r="F391">
            <v>504.11000000000212</v>
          </cell>
          <cell r="G391">
            <v>705.75</v>
          </cell>
        </row>
        <row r="392">
          <cell r="B392">
            <v>388</v>
          </cell>
          <cell r="C392">
            <v>833.90999999999576</v>
          </cell>
          <cell r="D392">
            <v>1167.47</v>
          </cell>
          <cell r="F392">
            <v>505.41000000000213</v>
          </cell>
          <cell r="G392">
            <v>707.57</v>
          </cell>
        </row>
        <row r="393">
          <cell r="B393">
            <v>389</v>
          </cell>
          <cell r="C393">
            <v>836.05999999999574</v>
          </cell>
          <cell r="D393">
            <v>1170.48</v>
          </cell>
          <cell r="F393">
            <v>506.71000000000214</v>
          </cell>
          <cell r="G393">
            <v>709.39</v>
          </cell>
        </row>
        <row r="394">
          <cell r="B394">
            <v>390</v>
          </cell>
          <cell r="C394">
            <v>838.20999999999572</v>
          </cell>
          <cell r="D394">
            <v>1173.49</v>
          </cell>
          <cell r="F394">
            <v>508.01000000000215</v>
          </cell>
          <cell r="G394">
            <v>711.21</v>
          </cell>
        </row>
        <row r="395">
          <cell r="B395">
            <v>391</v>
          </cell>
          <cell r="C395">
            <v>840.35999999999569</v>
          </cell>
          <cell r="D395">
            <v>1176.5</v>
          </cell>
          <cell r="F395">
            <v>509.31000000000216</v>
          </cell>
          <cell r="G395">
            <v>713.03</v>
          </cell>
        </row>
        <row r="396">
          <cell r="B396">
            <v>392</v>
          </cell>
          <cell r="C396">
            <v>842.50999999999567</v>
          </cell>
          <cell r="D396">
            <v>1179.51</v>
          </cell>
          <cell r="F396">
            <v>510.61000000000217</v>
          </cell>
          <cell r="G396">
            <v>714.85</v>
          </cell>
        </row>
        <row r="397">
          <cell r="B397">
            <v>393</v>
          </cell>
          <cell r="C397">
            <v>844.65999999999565</v>
          </cell>
          <cell r="D397">
            <v>1182.52</v>
          </cell>
          <cell r="F397">
            <v>511.91000000000219</v>
          </cell>
          <cell r="G397">
            <v>716.67</v>
          </cell>
        </row>
        <row r="398">
          <cell r="B398">
            <v>394</v>
          </cell>
          <cell r="C398">
            <v>846.80999999999563</v>
          </cell>
          <cell r="D398">
            <v>1185.53</v>
          </cell>
          <cell r="F398">
            <v>513.2100000000022</v>
          </cell>
          <cell r="G398">
            <v>718.49</v>
          </cell>
        </row>
        <row r="399">
          <cell r="B399">
            <v>395</v>
          </cell>
          <cell r="C399">
            <v>848.9599999999956</v>
          </cell>
          <cell r="D399">
            <v>1188.54</v>
          </cell>
          <cell r="F399">
            <v>514.51000000000215</v>
          </cell>
          <cell r="G399">
            <v>720.31</v>
          </cell>
        </row>
        <row r="400">
          <cell r="B400">
            <v>396</v>
          </cell>
          <cell r="C400">
            <v>851.10999999999558</v>
          </cell>
          <cell r="D400">
            <v>1191.55</v>
          </cell>
          <cell r="F400">
            <v>515.81000000000211</v>
          </cell>
          <cell r="G400">
            <v>722.13</v>
          </cell>
        </row>
        <row r="401">
          <cell r="B401">
            <v>397</v>
          </cell>
          <cell r="C401">
            <v>853.25999999999556</v>
          </cell>
          <cell r="D401">
            <v>1194.56</v>
          </cell>
          <cell r="F401">
            <v>517.11000000000206</v>
          </cell>
          <cell r="G401">
            <v>723.95</v>
          </cell>
        </row>
        <row r="402">
          <cell r="B402">
            <v>398</v>
          </cell>
          <cell r="C402">
            <v>855.40999999999553</v>
          </cell>
          <cell r="D402">
            <v>1197.57</v>
          </cell>
          <cell r="F402">
            <v>518.41000000000201</v>
          </cell>
          <cell r="G402">
            <v>725.77</v>
          </cell>
        </row>
        <row r="403">
          <cell r="B403">
            <v>399</v>
          </cell>
          <cell r="C403">
            <v>857.55999999999551</v>
          </cell>
          <cell r="D403">
            <v>1200.58</v>
          </cell>
          <cell r="F403">
            <v>519.71000000000197</v>
          </cell>
          <cell r="G403">
            <v>727.59</v>
          </cell>
        </row>
        <row r="404">
          <cell r="B404">
            <v>400</v>
          </cell>
          <cell r="C404">
            <v>859.70999999999549</v>
          </cell>
          <cell r="D404">
            <v>1203.5899999999999</v>
          </cell>
          <cell r="F404">
            <v>521.01000000000192</v>
          </cell>
          <cell r="G404">
            <v>729.41</v>
          </cell>
        </row>
        <row r="405">
          <cell r="B405">
            <v>401</v>
          </cell>
          <cell r="C405">
            <v>861.85999999999547</v>
          </cell>
          <cell r="D405">
            <v>1206.5999999999999</v>
          </cell>
          <cell r="F405">
            <v>522.31000000000188</v>
          </cell>
          <cell r="G405">
            <v>731.23</v>
          </cell>
        </row>
        <row r="406">
          <cell r="B406">
            <v>402</v>
          </cell>
          <cell r="C406">
            <v>864.00999999999544</v>
          </cell>
          <cell r="D406">
            <v>1209.6099999999999</v>
          </cell>
          <cell r="F406">
            <v>523.61000000000183</v>
          </cell>
          <cell r="G406">
            <v>733.05</v>
          </cell>
        </row>
        <row r="407">
          <cell r="B407">
            <v>403</v>
          </cell>
          <cell r="C407">
            <v>866.15999999999542</v>
          </cell>
          <cell r="D407">
            <v>1212.6199999999999</v>
          </cell>
          <cell r="F407">
            <v>524.91000000000179</v>
          </cell>
          <cell r="G407">
            <v>734.87</v>
          </cell>
        </row>
        <row r="408">
          <cell r="B408">
            <v>404</v>
          </cell>
          <cell r="C408">
            <v>868.3099999999954</v>
          </cell>
          <cell r="D408">
            <v>1215.6300000000001</v>
          </cell>
          <cell r="F408">
            <v>526.21000000000174</v>
          </cell>
          <cell r="G408">
            <v>736.69</v>
          </cell>
        </row>
        <row r="409">
          <cell r="B409">
            <v>405</v>
          </cell>
          <cell r="C409">
            <v>870.45999999999538</v>
          </cell>
          <cell r="D409">
            <v>1218.6400000000001</v>
          </cell>
          <cell r="F409">
            <v>527.5100000000017</v>
          </cell>
          <cell r="G409">
            <v>738.51</v>
          </cell>
        </row>
        <row r="410">
          <cell r="B410">
            <v>406</v>
          </cell>
          <cell r="C410">
            <v>872.60999999999535</v>
          </cell>
          <cell r="D410">
            <v>1221.6500000000001</v>
          </cell>
          <cell r="F410">
            <v>528.81000000000165</v>
          </cell>
          <cell r="G410">
            <v>740.33</v>
          </cell>
        </row>
        <row r="411">
          <cell r="B411">
            <v>407</v>
          </cell>
          <cell r="C411">
            <v>874.75999999999533</v>
          </cell>
          <cell r="D411">
            <v>1224.6600000000001</v>
          </cell>
          <cell r="F411">
            <v>530.11000000000161</v>
          </cell>
          <cell r="G411">
            <v>742.15</v>
          </cell>
        </row>
        <row r="412">
          <cell r="B412">
            <v>408</v>
          </cell>
          <cell r="C412">
            <v>876.90999999999531</v>
          </cell>
          <cell r="D412">
            <v>1227.67</v>
          </cell>
          <cell r="F412">
            <v>531.41000000000156</v>
          </cell>
          <cell r="G412">
            <v>743.97</v>
          </cell>
        </row>
        <row r="413">
          <cell r="B413">
            <v>409</v>
          </cell>
          <cell r="C413">
            <v>879.05999999999528</v>
          </cell>
          <cell r="D413">
            <v>1230.68</v>
          </cell>
          <cell r="F413">
            <v>532.71000000000151</v>
          </cell>
          <cell r="G413">
            <v>745.79</v>
          </cell>
        </row>
        <row r="414">
          <cell r="B414">
            <v>410</v>
          </cell>
          <cell r="C414">
            <v>881.20999999999526</v>
          </cell>
          <cell r="D414">
            <v>1233.69</v>
          </cell>
          <cell r="F414">
            <v>534.01000000000147</v>
          </cell>
          <cell r="G414">
            <v>747.61</v>
          </cell>
        </row>
        <row r="415">
          <cell r="B415">
            <v>411</v>
          </cell>
          <cell r="C415">
            <v>883.35999999999524</v>
          </cell>
          <cell r="D415">
            <v>1236.7</v>
          </cell>
          <cell r="F415">
            <v>535.31000000000142</v>
          </cell>
          <cell r="G415">
            <v>749.43</v>
          </cell>
        </row>
        <row r="416">
          <cell r="B416">
            <v>412</v>
          </cell>
          <cell r="C416">
            <v>885.50999999999522</v>
          </cell>
          <cell r="D416">
            <v>1239.71</v>
          </cell>
          <cell r="F416">
            <v>536.61000000000138</v>
          </cell>
          <cell r="G416">
            <v>751.25</v>
          </cell>
        </row>
        <row r="417">
          <cell r="B417">
            <v>413</v>
          </cell>
          <cell r="C417">
            <v>887.65999999999519</v>
          </cell>
          <cell r="D417">
            <v>1242.72</v>
          </cell>
          <cell r="F417">
            <v>537.91000000000133</v>
          </cell>
          <cell r="G417">
            <v>753.07</v>
          </cell>
        </row>
        <row r="418">
          <cell r="B418">
            <v>414</v>
          </cell>
          <cell r="C418">
            <v>889.80999999999517</v>
          </cell>
          <cell r="D418">
            <v>1245.73</v>
          </cell>
          <cell r="F418">
            <v>539.21000000000129</v>
          </cell>
          <cell r="G418">
            <v>754.89</v>
          </cell>
        </row>
        <row r="419">
          <cell r="B419">
            <v>415</v>
          </cell>
          <cell r="C419">
            <v>891.95999999999515</v>
          </cell>
          <cell r="D419">
            <v>1248.74</v>
          </cell>
          <cell r="F419">
            <v>540.51000000000124</v>
          </cell>
          <cell r="G419">
            <v>756.71</v>
          </cell>
        </row>
        <row r="420">
          <cell r="B420">
            <v>416</v>
          </cell>
          <cell r="C420">
            <v>894.10999999999513</v>
          </cell>
          <cell r="D420">
            <v>1251.75</v>
          </cell>
          <cell r="F420">
            <v>541.8100000000012</v>
          </cell>
          <cell r="G420">
            <v>758.53</v>
          </cell>
        </row>
        <row r="421">
          <cell r="B421">
            <v>417</v>
          </cell>
          <cell r="C421">
            <v>896.2599999999951</v>
          </cell>
          <cell r="D421">
            <v>1254.76</v>
          </cell>
          <cell r="F421">
            <v>543.11000000000115</v>
          </cell>
          <cell r="G421">
            <v>760.35</v>
          </cell>
        </row>
        <row r="422">
          <cell r="B422">
            <v>418</v>
          </cell>
          <cell r="C422">
            <v>898.40999999999508</v>
          </cell>
          <cell r="D422">
            <v>1257.77</v>
          </cell>
          <cell r="F422">
            <v>544.41000000000111</v>
          </cell>
          <cell r="G422">
            <v>762.17</v>
          </cell>
        </row>
        <row r="423">
          <cell r="B423">
            <v>419</v>
          </cell>
          <cell r="C423">
            <v>900.55999999999506</v>
          </cell>
          <cell r="D423">
            <v>1260.78</v>
          </cell>
          <cell r="F423">
            <v>545.71000000000106</v>
          </cell>
          <cell r="G423">
            <v>763.99</v>
          </cell>
        </row>
        <row r="424">
          <cell r="B424">
            <v>420</v>
          </cell>
          <cell r="C424">
            <v>902.70999999999503</v>
          </cell>
          <cell r="D424">
            <v>1263.79</v>
          </cell>
          <cell r="F424">
            <v>547.01000000000101</v>
          </cell>
          <cell r="G424">
            <v>765.81</v>
          </cell>
        </row>
        <row r="425">
          <cell r="B425">
            <v>421</v>
          </cell>
          <cell r="C425">
            <v>904.85999999999501</v>
          </cell>
          <cell r="D425">
            <v>1266.8</v>
          </cell>
          <cell r="F425">
            <v>548.31000000000097</v>
          </cell>
          <cell r="G425">
            <v>767.63</v>
          </cell>
        </row>
        <row r="426">
          <cell r="B426">
            <v>422</v>
          </cell>
          <cell r="C426">
            <v>907.00999999999499</v>
          </cell>
          <cell r="D426">
            <v>1269.81</v>
          </cell>
          <cell r="F426">
            <v>549.61000000000092</v>
          </cell>
          <cell r="G426">
            <v>769.45</v>
          </cell>
        </row>
        <row r="427">
          <cell r="B427">
            <v>423</v>
          </cell>
          <cell r="C427">
            <v>909.15999999999497</v>
          </cell>
          <cell r="D427">
            <v>1272.82</v>
          </cell>
          <cell r="F427">
            <v>550.91000000000088</v>
          </cell>
          <cell r="G427">
            <v>771.27</v>
          </cell>
        </row>
        <row r="428">
          <cell r="B428">
            <v>424</v>
          </cell>
          <cell r="C428">
            <v>911.30999999999494</v>
          </cell>
          <cell r="D428">
            <v>1275.83</v>
          </cell>
          <cell r="F428">
            <v>552.21000000000083</v>
          </cell>
          <cell r="G428">
            <v>773.09</v>
          </cell>
        </row>
        <row r="429">
          <cell r="B429">
            <v>425</v>
          </cell>
          <cell r="C429">
            <v>913.45999999999492</v>
          </cell>
          <cell r="D429">
            <v>1278.8399999999999</v>
          </cell>
          <cell r="F429">
            <v>553.51000000000079</v>
          </cell>
          <cell r="G429">
            <v>774.91</v>
          </cell>
        </row>
        <row r="430">
          <cell r="B430">
            <v>426</v>
          </cell>
          <cell r="C430">
            <v>915.6099999999949</v>
          </cell>
          <cell r="D430">
            <v>1281.8499999999999</v>
          </cell>
          <cell r="F430">
            <v>554.81000000000074</v>
          </cell>
          <cell r="G430">
            <v>776.73</v>
          </cell>
        </row>
        <row r="431">
          <cell r="B431">
            <v>427</v>
          </cell>
          <cell r="C431">
            <v>917.75999999999487</v>
          </cell>
          <cell r="D431">
            <v>1284.8599999999999</v>
          </cell>
          <cell r="F431">
            <v>556.1100000000007</v>
          </cell>
          <cell r="G431">
            <v>778.55</v>
          </cell>
        </row>
        <row r="432">
          <cell r="B432">
            <v>428</v>
          </cell>
          <cell r="C432">
            <v>919.90999999999485</v>
          </cell>
          <cell r="D432">
            <v>1287.8699999999999</v>
          </cell>
          <cell r="F432">
            <v>557.41000000000065</v>
          </cell>
          <cell r="G432">
            <v>780.37</v>
          </cell>
        </row>
        <row r="433">
          <cell r="B433">
            <v>429</v>
          </cell>
          <cell r="C433">
            <v>922.05999999999483</v>
          </cell>
          <cell r="D433">
            <v>1290.8800000000001</v>
          </cell>
          <cell r="F433">
            <v>558.7100000000006</v>
          </cell>
          <cell r="G433">
            <v>782.19</v>
          </cell>
        </row>
        <row r="434">
          <cell r="B434">
            <v>430</v>
          </cell>
          <cell r="C434">
            <v>924.20999999999481</v>
          </cell>
          <cell r="D434">
            <v>1293.8900000000001</v>
          </cell>
          <cell r="F434">
            <v>560.01000000000056</v>
          </cell>
          <cell r="G434">
            <v>784.01</v>
          </cell>
        </row>
        <row r="435">
          <cell r="B435">
            <v>431</v>
          </cell>
          <cell r="C435">
            <v>926.35999999999478</v>
          </cell>
          <cell r="D435">
            <v>1296.9000000000001</v>
          </cell>
          <cell r="F435">
            <v>561.31000000000051</v>
          </cell>
          <cell r="G435">
            <v>785.83</v>
          </cell>
        </row>
        <row r="436">
          <cell r="B436">
            <v>432</v>
          </cell>
          <cell r="C436">
            <v>928.50999999999476</v>
          </cell>
          <cell r="D436">
            <v>1299.9100000000001</v>
          </cell>
          <cell r="F436">
            <v>562.61000000000047</v>
          </cell>
          <cell r="G436">
            <v>787.65</v>
          </cell>
        </row>
        <row r="437">
          <cell r="B437">
            <v>433</v>
          </cell>
          <cell r="C437">
            <v>930.65999999999474</v>
          </cell>
          <cell r="D437">
            <v>1302.92</v>
          </cell>
          <cell r="F437">
            <v>563.91000000000042</v>
          </cell>
          <cell r="G437">
            <v>789.47</v>
          </cell>
        </row>
        <row r="438">
          <cell r="B438">
            <v>434</v>
          </cell>
          <cell r="C438">
            <v>932.80999999999472</v>
          </cell>
          <cell r="D438">
            <v>1305.93</v>
          </cell>
          <cell r="F438">
            <v>565.21000000000038</v>
          </cell>
          <cell r="G438">
            <v>791.29</v>
          </cell>
        </row>
        <row r="439">
          <cell r="B439">
            <v>435</v>
          </cell>
          <cell r="C439">
            <v>934.95999999999469</v>
          </cell>
          <cell r="D439">
            <v>1308.94</v>
          </cell>
          <cell r="F439">
            <v>566.51000000000033</v>
          </cell>
          <cell r="G439">
            <v>793.11</v>
          </cell>
        </row>
        <row r="440">
          <cell r="B440">
            <v>436</v>
          </cell>
          <cell r="C440">
            <v>937.10999999999467</v>
          </cell>
          <cell r="D440">
            <v>1311.95</v>
          </cell>
          <cell r="F440">
            <v>567.81000000000029</v>
          </cell>
          <cell r="G440">
            <v>794.93</v>
          </cell>
        </row>
        <row r="441">
          <cell r="B441">
            <v>437</v>
          </cell>
          <cell r="C441">
            <v>939.25999999999465</v>
          </cell>
          <cell r="D441">
            <v>1314.96</v>
          </cell>
          <cell r="F441">
            <v>569.11000000000024</v>
          </cell>
          <cell r="G441">
            <v>796.75</v>
          </cell>
        </row>
        <row r="442">
          <cell r="B442">
            <v>438</v>
          </cell>
          <cell r="C442">
            <v>941.40999999999462</v>
          </cell>
          <cell r="D442">
            <v>1317.97</v>
          </cell>
          <cell r="F442">
            <v>570.4100000000002</v>
          </cell>
          <cell r="G442">
            <v>798.57</v>
          </cell>
        </row>
        <row r="443">
          <cell r="B443">
            <v>439</v>
          </cell>
          <cell r="C443">
            <v>943.5599999999946</v>
          </cell>
          <cell r="D443">
            <v>1320.98</v>
          </cell>
          <cell r="F443">
            <v>571.71000000000015</v>
          </cell>
          <cell r="G443">
            <v>800.39</v>
          </cell>
        </row>
        <row r="444">
          <cell r="B444">
            <v>440</v>
          </cell>
          <cell r="C444">
            <v>945.70999999999458</v>
          </cell>
          <cell r="D444">
            <v>1323.99</v>
          </cell>
          <cell r="F444">
            <v>573.0100000000001</v>
          </cell>
          <cell r="G444">
            <v>802.21</v>
          </cell>
        </row>
        <row r="445">
          <cell r="B445">
            <v>441</v>
          </cell>
          <cell r="C445">
            <v>947.85999999999456</v>
          </cell>
          <cell r="D445">
            <v>1327</v>
          </cell>
          <cell r="F445">
            <v>574.31000000000006</v>
          </cell>
          <cell r="G445">
            <v>804.03</v>
          </cell>
        </row>
        <row r="446">
          <cell r="B446">
            <v>442</v>
          </cell>
          <cell r="C446">
            <v>950.00999999999453</v>
          </cell>
          <cell r="D446">
            <v>1330.01</v>
          </cell>
          <cell r="F446">
            <v>575.61</v>
          </cell>
          <cell r="G446">
            <v>805.85</v>
          </cell>
        </row>
        <row r="447">
          <cell r="B447">
            <v>443</v>
          </cell>
          <cell r="C447">
            <v>952.15999999999451</v>
          </cell>
          <cell r="D447">
            <v>1333.02</v>
          </cell>
          <cell r="F447">
            <v>576.91</v>
          </cell>
          <cell r="G447">
            <v>807.67</v>
          </cell>
        </row>
        <row r="448">
          <cell r="B448">
            <v>444</v>
          </cell>
          <cell r="C448">
            <v>954.30999999999449</v>
          </cell>
          <cell r="D448">
            <v>1336.03</v>
          </cell>
          <cell r="F448">
            <v>578.20999999999992</v>
          </cell>
          <cell r="G448">
            <v>809.49</v>
          </cell>
        </row>
        <row r="449">
          <cell r="B449">
            <v>445</v>
          </cell>
          <cell r="C449">
            <v>956.45999999999447</v>
          </cell>
          <cell r="D449">
            <v>1339.04</v>
          </cell>
          <cell r="F449">
            <v>579.50999999999988</v>
          </cell>
          <cell r="G449">
            <v>811.31</v>
          </cell>
        </row>
        <row r="450">
          <cell r="B450">
            <v>446</v>
          </cell>
          <cell r="C450">
            <v>958.60999999999444</v>
          </cell>
          <cell r="D450">
            <v>1342.05</v>
          </cell>
          <cell r="F450">
            <v>580.80999999999983</v>
          </cell>
          <cell r="G450">
            <v>813.13</v>
          </cell>
        </row>
        <row r="451">
          <cell r="B451">
            <v>447</v>
          </cell>
          <cell r="C451">
            <v>960.75999999999442</v>
          </cell>
          <cell r="D451">
            <v>1345.06</v>
          </cell>
          <cell r="F451">
            <v>582.10999999999979</v>
          </cell>
          <cell r="G451">
            <v>814.95</v>
          </cell>
        </row>
        <row r="452">
          <cell r="B452">
            <v>448</v>
          </cell>
          <cell r="C452">
            <v>962.9099999999944</v>
          </cell>
          <cell r="D452">
            <v>1348.07</v>
          </cell>
          <cell r="F452">
            <v>583.40999999999974</v>
          </cell>
          <cell r="G452">
            <v>816.77</v>
          </cell>
        </row>
        <row r="453">
          <cell r="B453">
            <v>449</v>
          </cell>
          <cell r="C453">
            <v>965.05999999999437</v>
          </cell>
          <cell r="D453">
            <v>1351.08</v>
          </cell>
          <cell r="F453">
            <v>584.7099999999997</v>
          </cell>
          <cell r="G453">
            <v>818.59</v>
          </cell>
        </row>
        <row r="454">
          <cell r="B454">
            <v>450</v>
          </cell>
          <cell r="C454">
            <v>967.20999999999435</v>
          </cell>
          <cell r="D454">
            <v>1354.09</v>
          </cell>
          <cell r="F454">
            <v>586.00999999999965</v>
          </cell>
          <cell r="G454">
            <v>820.41</v>
          </cell>
        </row>
        <row r="455">
          <cell r="B455">
            <v>451</v>
          </cell>
          <cell r="C455">
            <v>969.35999999999433</v>
          </cell>
          <cell r="D455">
            <v>1357.1</v>
          </cell>
          <cell r="F455">
            <v>587.3099999999996</v>
          </cell>
          <cell r="G455">
            <v>822.23</v>
          </cell>
        </row>
        <row r="456">
          <cell r="B456">
            <v>452</v>
          </cell>
          <cell r="C456">
            <v>971.50999999999431</v>
          </cell>
          <cell r="D456">
            <v>1360.11</v>
          </cell>
          <cell r="F456">
            <v>588.60999999999956</v>
          </cell>
          <cell r="G456">
            <v>824.05</v>
          </cell>
        </row>
        <row r="457">
          <cell r="B457">
            <v>453</v>
          </cell>
          <cell r="C457">
            <v>973.65999999999428</v>
          </cell>
          <cell r="D457">
            <v>1363.12</v>
          </cell>
          <cell r="F457">
            <v>589.90999999999951</v>
          </cell>
          <cell r="G457">
            <v>825.87</v>
          </cell>
        </row>
        <row r="458">
          <cell r="B458">
            <v>454</v>
          </cell>
          <cell r="C458">
            <v>975.80999999999426</v>
          </cell>
          <cell r="D458">
            <v>1366.13</v>
          </cell>
          <cell r="F458">
            <v>591.20999999999947</v>
          </cell>
          <cell r="G458">
            <v>827.69</v>
          </cell>
        </row>
        <row r="459">
          <cell r="B459">
            <v>455</v>
          </cell>
          <cell r="C459">
            <v>977.95999999999424</v>
          </cell>
          <cell r="D459">
            <v>1369.14</v>
          </cell>
          <cell r="F459">
            <v>592.50999999999942</v>
          </cell>
          <cell r="G459">
            <v>829.51</v>
          </cell>
        </row>
        <row r="460">
          <cell r="B460">
            <v>456</v>
          </cell>
          <cell r="C460">
            <v>980.10999999999422</v>
          </cell>
          <cell r="D460">
            <v>1372.15</v>
          </cell>
          <cell r="F460">
            <v>593.80999999999938</v>
          </cell>
          <cell r="G460">
            <v>831.33</v>
          </cell>
        </row>
        <row r="461">
          <cell r="B461">
            <v>457</v>
          </cell>
          <cell r="C461">
            <v>982.25999999999419</v>
          </cell>
          <cell r="D461">
            <v>1375.16</v>
          </cell>
          <cell r="F461">
            <v>595.10999999999933</v>
          </cell>
          <cell r="G461">
            <v>833.15</v>
          </cell>
        </row>
        <row r="462">
          <cell r="B462">
            <v>458</v>
          </cell>
          <cell r="C462">
            <v>984.40999999999417</v>
          </cell>
          <cell r="D462">
            <v>1378.17</v>
          </cell>
          <cell r="F462">
            <v>596.40999999999929</v>
          </cell>
          <cell r="G462">
            <v>834.97</v>
          </cell>
        </row>
        <row r="463">
          <cell r="B463">
            <v>459</v>
          </cell>
          <cell r="C463">
            <v>986.55999999999415</v>
          </cell>
          <cell r="D463">
            <v>1381.18</v>
          </cell>
          <cell r="F463">
            <v>597.70999999999924</v>
          </cell>
          <cell r="G463">
            <v>836.79</v>
          </cell>
        </row>
        <row r="464">
          <cell r="B464">
            <v>460</v>
          </cell>
          <cell r="C464">
            <v>988.70999999999412</v>
          </cell>
          <cell r="D464">
            <v>1384.19</v>
          </cell>
          <cell r="F464">
            <v>599.0099999999992</v>
          </cell>
          <cell r="G464">
            <v>838.61</v>
          </cell>
        </row>
        <row r="465">
          <cell r="B465">
            <v>461</v>
          </cell>
          <cell r="C465">
            <v>990.8599999999941</v>
          </cell>
          <cell r="D465">
            <v>1387.2</v>
          </cell>
          <cell r="F465">
            <v>600.30999999999915</v>
          </cell>
          <cell r="G465">
            <v>840.43</v>
          </cell>
        </row>
        <row r="466">
          <cell r="B466">
            <v>462</v>
          </cell>
          <cell r="C466">
            <v>993.00999999999408</v>
          </cell>
          <cell r="D466">
            <v>1390.21</v>
          </cell>
          <cell r="F466">
            <v>601.6099999999991</v>
          </cell>
          <cell r="G466">
            <v>842.25</v>
          </cell>
        </row>
        <row r="467">
          <cell r="B467">
            <v>463</v>
          </cell>
          <cell r="C467">
            <v>995.15999999999406</v>
          </cell>
          <cell r="D467">
            <v>1393.22</v>
          </cell>
          <cell r="F467">
            <v>602.90999999999906</v>
          </cell>
          <cell r="G467">
            <v>844.07</v>
          </cell>
        </row>
        <row r="468">
          <cell r="B468">
            <v>464</v>
          </cell>
          <cell r="C468">
            <v>997.30999999999403</v>
          </cell>
          <cell r="D468">
            <v>1396.23</v>
          </cell>
          <cell r="F468">
            <v>604.20999999999901</v>
          </cell>
          <cell r="G468">
            <v>845.89</v>
          </cell>
        </row>
        <row r="469">
          <cell r="B469">
            <v>465</v>
          </cell>
          <cell r="C469">
            <v>999.45999999999401</v>
          </cell>
          <cell r="D469">
            <v>1399.24</v>
          </cell>
          <cell r="F469">
            <v>605.50999999999897</v>
          </cell>
          <cell r="G469">
            <v>847.71</v>
          </cell>
        </row>
        <row r="470">
          <cell r="B470">
            <v>466</v>
          </cell>
          <cell r="C470">
            <v>1001.609999999994</v>
          </cell>
          <cell r="D470">
            <v>1402.25</v>
          </cell>
          <cell r="F470">
            <v>606.80999999999892</v>
          </cell>
          <cell r="G470">
            <v>849.53</v>
          </cell>
        </row>
        <row r="471">
          <cell r="B471">
            <v>467</v>
          </cell>
          <cell r="C471">
            <v>1003.759999999994</v>
          </cell>
          <cell r="D471">
            <v>1405.26</v>
          </cell>
          <cell r="F471">
            <v>608.10999999999888</v>
          </cell>
          <cell r="G471">
            <v>851.35</v>
          </cell>
        </row>
        <row r="472">
          <cell r="B472">
            <v>468</v>
          </cell>
          <cell r="C472">
            <v>1005.9099999999939</v>
          </cell>
          <cell r="D472">
            <v>1408.27</v>
          </cell>
          <cell r="F472">
            <v>609.40999999999883</v>
          </cell>
          <cell r="G472">
            <v>853.17</v>
          </cell>
        </row>
        <row r="473">
          <cell r="B473">
            <v>469</v>
          </cell>
          <cell r="C473">
            <v>1008.0599999999939</v>
          </cell>
          <cell r="D473">
            <v>1411.28</v>
          </cell>
          <cell r="F473">
            <v>610.70999999999879</v>
          </cell>
          <cell r="G473">
            <v>854.99</v>
          </cell>
        </row>
        <row r="474">
          <cell r="B474">
            <v>470</v>
          </cell>
          <cell r="C474">
            <v>1010.2099999999939</v>
          </cell>
          <cell r="D474">
            <v>1414.29</v>
          </cell>
          <cell r="F474">
            <v>612.00999999999874</v>
          </cell>
          <cell r="G474">
            <v>856.81</v>
          </cell>
        </row>
        <row r="475">
          <cell r="B475">
            <v>471</v>
          </cell>
          <cell r="C475">
            <v>1012.3599999999939</v>
          </cell>
          <cell r="D475">
            <v>1417.3</v>
          </cell>
          <cell r="F475">
            <v>613.30999999999869</v>
          </cell>
          <cell r="G475">
            <v>858.63</v>
          </cell>
        </row>
        <row r="476">
          <cell r="B476">
            <v>472</v>
          </cell>
          <cell r="C476">
            <v>1014.5099999999939</v>
          </cell>
          <cell r="D476">
            <v>1420.31</v>
          </cell>
          <cell r="F476">
            <v>614.60999999999865</v>
          </cell>
          <cell r="G476">
            <v>860.45</v>
          </cell>
        </row>
        <row r="477">
          <cell r="B477">
            <v>473</v>
          </cell>
          <cell r="C477">
            <v>1016.6599999999938</v>
          </cell>
          <cell r="D477">
            <v>1423.32</v>
          </cell>
          <cell r="F477">
            <v>615.9099999999986</v>
          </cell>
          <cell r="G477">
            <v>862.27</v>
          </cell>
        </row>
        <row r="478">
          <cell r="B478">
            <v>474</v>
          </cell>
          <cell r="C478">
            <v>1018.8099999999938</v>
          </cell>
          <cell r="D478">
            <v>1426.33</v>
          </cell>
          <cell r="F478">
            <v>617.20999999999856</v>
          </cell>
          <cell r="G478">
            <v>864.09</v>
          </cell>
        </row>
        <row r="479">
          <cell r="B479">
            <v>475</v>
          </cell>
          <cell r="C479">
            <v>1020.9599999999938</v>
          </cell>
          <cell r="D479">
            <v>1429.34</v>
          </cell>
          <cell r="F479">
            <v>618.50999999999851</v>
          </cell>
          <cell r="G479">
            <v>865.91</v>
          </cell>
        </row>
        <row r="480">
          <cell r="B480">
            <v>476</v>
          </cell>
          <cell r="C480">
            <v>1023.1099999999938</v>
          </cell>
          <cell r="D480">
            <v>1432.35</v>
          </cell>
          <cell r="F480">
            <v>619.80999999999847</v>
          </cell>
          <cell r="G480">
            <v>867.73</v>
          </cell>
        </row>
        <row r="481">
          <cell r="B481">
            <v>477</v>
          </cell>
          <cell r="C481">
            <v>1025.2599999999939</v>
          </cell>
          <cell r="D481">
            <v>1435.36</v>
          </cell>
          <cell r="F481">
            <v>621.10999999999842</v>
          </cell>
          <cell r="G481">
            <v>869.55</v>
          </cell>
        </row>
        <row r="482">
          <cell r="B482">
            <v>478</v>
          </cell>
          <cell r="C482">
            <v>1027.4099999999939</v>
          </cell>
          <cell r="D482">
            <v>1438.37</v>
          </cell>
          <cell r="F482">
            <v>622.40999999999838</v>
          </cell>
          <cell r="G482">
            <v>871.37</v>
          </cell>
        </row>
        <row r="483">
          <cell r="B483">
            <v>479</v>
          </cell>
          <cell r="C483">
            <v>1029.559999999994</v>
          </cell>
          <cell r="D483">
            <v>1441.38</v>
          </cell>
          <cell r="F483">
            <v>623.70999999999833</v>
          </cell>
          <cell r="G483">
            <v>873.19</v>
          </cell>
        </row>
        <row r="484">
          <cell r="B484">
            <v>480</v>
          </cell>
          <cell r="C484">
            <v>1031.7099999999941</v>
          </cell>
          <cell r="D484">
            <v>1444.39</v>
          </cell>
          <cell r="F484">
            <v>625.00999999999829</v>
          </cell>
          <cell r="G484">
            <v>875.01</v>
          </cell>
        </row>
        <row r="485">
          <cell r="B485">
            <v>481</v>
          </cell>
          <cell r="C485">
            <v>1033.8599999999942</v>
          </cell>
          <cell r="D485">
            <v>1447.4</v>
          </cell>
          <cell r="F485">
            <v>626.30999999999824</v>
          </cell>
          <cell r="G485">
            <v>876.83</v>
          </cell>
        </row>
        <row r="486">
          <cell r="B486">
            <v>482</v>
          </cell>
          <cell r="C486">
            <v>1036.0099999999943</v>
          </cell>
          <cell r="D486">
            <v>1450.41</v>
          </cell>
          <cell r="F486">
            <v>627.60999999999819</v>
          </cell>
          <cell r="G486">
            <v>878.65</v>
          </cell>
        </row>
        <row r="487">
          <cell r="B487">
            <v>483</v>
          </cell>
          <cell r="C487">
            <v>1038.1599999999944</v>
          </cell>
          <cell r="D487">
            <v>1453.42</v>
          </cell>
          <cell r="F487">
            <v>628.90999999999815</v>
          </cell>
          <cell r="G487">
            <v>880.47</v>
          </cell>
        </row>
        <row r="488">
          <cell r="B488">
            <v>484</v>
          </cell>
          <cell r="C488">
            <v>1040.3099999999945</v>
          </cell>
          <cell r="D488">
            <v>1456.43</v>
          </cell>
          <cell r="F488">
            <v>630.2099999999981</v>
          </cell>
          <cell r="G488">
            <v>882.29</v>
          </cell>
        </row>
        <row r="489">
          <cell r="B489">
            <v>485</v>
          </cell>
          <cell r="C489">
            <v>1042.4599999999946</v>
          </cell>
          <cell r="D489">
            <v>1459.44</v>
          </cell>
          <cell r="F489">
            <v>631.50999999999806</v>
          </cell>
          <cell r="G489">
            <v>884.11</v>
          </cell>
        </row>
        <row r="490">
          <cell r="B490">
            <v>486</v>
          </cell>
          <cell r="C490">
            <v>1044.6099999999947</v>
          </cell>
          <cell r="D490">
            <v>1462.45</v>
          </cell>
          <cell r="F490">
            <v>632.80999999999801</v>
          </cell>
          <cell r="G490">
            <v>885.93</v>
          </cell>
        </row>
        <row r="491">
          <cell r="B491">
            <v>487</v>
          </cell>
          <cell r="C491">
            <v>1046.7599999999948</v>
          </cell>
          <cell r="D491">
            <v>1465.46</v>
          </cell>
          <cell r="F491">
            <v>634.10999999999797</v>
          </cell>
          <cell r="G491">
            <v>887.75</v>
          </cell>
        </row>
        <row r="492">
          <cell r="B492">
            <v>488</v>
          </cell>
          <cell r="C492">
            <v>1048.9099999999949</v>
          </cell>
          <cell r="D492">
            <v>1468.47</v>
          </cell>
          <cell r="F492">
            <v>635.40999999999792</v>
          </cell>
          <cell r="G492">
            <v>889.57</v>
          </cell>
        </row>
        <row r="493">
          <cell r="B493">
            <v>489</v>
          </cell>
          <cell r="C493">
            <v>1051.0599999999949</v>
          </cell>
          <cell r="D493">
            <v>1471.48</v>
          </cell>
          <cell r="F493">
            <v>636.70999999999788</v>
          </cell>
          <cell r="G493">
            <v>891.39</v>
          </cell>
        </row>
        <row r="494">
          <cell r="B494">
            <v>490</v>
          </cell>
          <cell r="C494">
            <v>1053.209999999995</v>
          </cell>
          <cell r="D494">
            <v>1474.49</v>
          </cell>
          <cell r="F494">
            <v>638.00999999999783</v>
          </cell>
          <cell r="G494">
            <v>893.21</v>
          </cell>
        </row>
        <row r="495">
          <cell r="B495">
            <v>491</v>
          </cell>
          <cell r="C495">
            <v>1055.3599999999951</v>
          </cell>
          <cell r="D495">
            <v>1477.5</v>
          </cell>
          <cell r="F495">
            <v>639.30999999999779</v>
          </cell>
          <cell r="G495">
            <v>895.03</v>
          </cell>
        </row>
        <row r="496">
          <cell r="B496">
            <v>492</v>
          </cell>
          <cell r="C496">
            <v>1057.5099999999952</v>
          </cell>
          <cell r="D496">
            <v>1480.51</v>
          </cell>
          <cell r="F496">
            <v>640.60999999999774</v>
          </cell>
          <cell r="G496">
            <v>896.85</v>
          </cell>
        </row>
        <row r="497">
          <cell r="B497">
            <v>493</v>
          </cell>
          <cell r="C497">
            <v>1059.6599999999953</v>
          </cell>
          <cell r="D497">
            <v>1483.52</v>
          </cell>
          <cell r="F497">
            <v>641.90999999999769</v>
          </cell>
          <cell r="G497">
            <v>898.67</v>
          </cell>
        </row>
        <row r="498">
          <cell r="B498">
            <v>494</v>
          </cell>
          <cell r="C498">
            <v>1061.8099999999954</v>
          </cell>
          <cell r="D498">
            <v>1486.53</v>
          </cell>
          <cell r="F498">
            <v>643.20999999999765</v>
          </cell>
          <cell r="G498">
            <v>900.49</v>
          </cell>
        </row>
        <row r="499">
          <cell r="B499">
            <v>495</v>
          </cell>
          <cell r="C499">
            <v>1063.9599999999955</v>
          </cell>
          <cell r="D499">
            <v>1489.54</v>
          </cell>
          <cell r="F499">
            <v>644.5099999999976</v>
          </cell>
          <cell r="G499">
            <v>902.31</v>
          </cell>
        </row>
        <row r="500">
          <cell r="B500">
            <v>496</v>
          </cell>
          <cell r="C500">
            <v>1066.1099999999956</v>
          </cell>
          <cell r="D500">
            <v>1492.55</v>
          </cell>
          <cell r="F500">
            <v>645.80999999999756</v>
          </cell>
          <cell r="G500">
            <v>904.13</v>
          </cell>
        </row>
        <row r="501">
          <cell r="B501">
            <v>497</v>
          </cell>
          <cell r="C501">
            <v>1068.2599999999957</v>
          </cell>
          <cell r="D501">
            <v>1495.56</v>
          </cell>
          <cell r="F501">
            <v>647.10999999999751</v>
          </cell>
          <cell r="G501">
            <v>905.95</v>
          </cell>
        </row>
        <row r="502">
          <cell r="B502">
            <v>498</v>
          </cell>
          <cell r="C502">
            <v>1070.4099999999958</v>
          </cell>
          <cell r="D502">
            <v>1498.57</v>
          </cell>
          <cell r="F502">
            <v>648.40999999999747</v>
          </cell>
          <cell r="G502">
            <v>907.77</v>
          </cell>
        </row>
        <row r="503">
          <cell r="B503">
            <v>499</v>
          </cell>
          <cell r="C503">
            <v>1072.5599999999959</v>
          </cell>
          <cell r="D503">
            <v>1501.58</v>
          </cell>
          <cell r="F503">
            <v>649.70999999999742</v>
          </cell>
          <cell r="G503">
            <v>909.59</v>
          </cell>
        </row>
        <row r="504">
          <cell r="B504">
            <v>500</v>
          </cell>
          <cell r="C504">
            <v>1074.7099999999959</v>
          </cell>
          <cell r="D504">
            <v>1504.59</v>
          </cell>
          <cell r="F504">
            <v>651.00999999999738</v>
          </cell>
          <cell r="G504">
            <v>911.41</v>
          </cell>
        </row>
        <row r="505">
          <cell r="B505">
            <v>501</v>
          </cell>
          <cell r="C505">
            <v>1076.859999999996</v>
          </cell>
          <cell r="D505">
            <v>1507.6</v>
          </cell>
          <cell r="F505">
            <v>652.30999999999733</v>
          </cell>
          <cell r="G505">
            <v>913.23</v>
          </cell>
        </row>
        <row r="506">
          <cell r="B506">
            <v>502</v>
          </cell>
          <cell r="C506">
            <v>1079.0099999999961</v>
          </cell>
          <cell r="D506">
            <v>1510.61</v>
          </cell>
          <cell r="F506">
            <v>653.60999999999729</v>
          </cell>
          <cell r="G506">
            <v>915.05</v>
          </cell>
        </row>
        <row r="507">
          <cell r="B507">
            <v>503</v>
          </cell>
          <cell r="C507">
            <v>1081.1599999999962</v>
          </cell>
          <cell r="D507">
            <v>1513.62</v>
          </cell>
          <cell r="F507">
            <v>654.90999999999724</v>
          </cell>
          <cell r="G507">
            <v>916.87</v>
          </cell>
        </row>
        <row r="508">
          <cell r="B508">
            <v>504</v>
          </cell>
          <cell r="C508">
            <v>1083.3099999999963</v>
          </cell>
          <cell r="D508">
            <v>1516.63</v>
          </cell>
          <cell r="F508">
            <v>656.20999999999719</v>
          </cell>
          <cell r="G508">
            <v>918.69</v>
          </cell>
        </row>
        <row r="509">
          <cell r="B509">
            <v>505</v>
          </cell>
          <cell r="C509">
            <v>1085.4599999999964</v>
          </cell>
          <cell r="D509">
            <v>1519.64</v>
          </cell>
          <cell r="F509">
            <v>657.50999999999715</v>
          </cell>
          <cell r="G509">
            <v>920.51</v>
          </cell>
        </row>
        <row r="510">
          <cell r="B510">
            <v>506</v>
          </cell>
          <cell r="C510">
            <v>1087.6099999999965</v>
          </cell>
          <cell r="D510">
            <v>1522.65</v>
          </cell>
          <cell r="F510">
            <v>658.8099999999971</v>
          </cell>
          <cell r="G510">
            <v>922.33</v>
          </cell>
        </row>
        <row r="511">
          <cell r="B511">
            <v>507</v>
          </cell>
          <cell r="C511">
            <v>1089.7599999999966</v>
          </cell>
          <cell r="D511">
            <v>1525.66</v>
          </cell>
          <cell r="F511">
            <v>660.10999999999706</v>
          </cell>
          <cell r="G511">
            <v>924.15</v>
          </cell>
        </row>
        <row r="512">
          <cell r="B512">
            <v>508</v>
          </cell>
          <cell r="C512">
            <v>1091.9099999999967</v>
          </cell>
          <cell r="D512">
            <v>1528.67</v>
          </cell>
          <cell r="F512">
            <v>661.40999999999701</v>
          </cell>
          <cell r="G512">
            <v>925.97</v>
          </cell>
        </row>
        <row r="513">
          <cell r="B513">
            <v>509</v>
          </cell>
          <cell r="C513">
            <v>1094.0599999999968</v>
          </cell>
          <cell r="D513">
            <v>1531.68</v>
          </cell>
          <cell r="F513">
            <v>662.70999999999697</v>
          </cell>
          <cell r="G513">
            <v>927.79</v>
          </cell>
        </row>
        <row r="514">
          <cell r="B514">
            <v>510</v>
          </cell>
          <cell r="C514">
            <v>1096.2099999999969</v>
          </cell>
          <cell r="D514">
            <v>1534.69</v>
          </cell>
          <cell r="F514">
            <v>664.00999999999692</v>
          </cell>
          <cell r="G514">
            <v>929.61</v>
          </cell>
        </row>
        <row r="515">
          <cell r="B515">
            <v>511</v>
          </cell>
          <cell r="C515">
            <v>1098.3599999999969</v>
          </cell>
          <cell r="D515">
            <v>1537.7</v>
          </cell>
          <cell r="F515">
            <v>665.30999999999688</v>
          </cell>
          <cell r="G515">
            <v>931.43</v>
          </cell>
        </row>
        <row r="516">
          <cell r="B516">
            <v>512</v>
          </cell>
          <cell r="C516">
            <v>1100.509999999997</v>
          </cell>
          <cell r="D516">
            <v>1540.71</v>
          </cell>
          <cell r="F516">
            <v>666.60999999999683</v>
          </cell>
          <cell r="G516">
            <v>933.25</v>
          </cell>
        </row>
        <row r="517">
          <cell r="B517">
            <v>513</v>
          </cell>
          <cell r="C517">
            <v>1102.6599999999971</v>
          </cell>
          <cell r="D517">
            <v>1543.72</v>
          </cell>
          <cell r="F517">
            <v>667.90999999999678</v>
          </cell>
          <cell r="G517">
            <v>935.07</v>
          </cell>
        </row>
        <row r="518">
          <cell r="B518">
            <v>514</v>
          </cell>
          <cell r="C518">
            <v>1104.8099999999972</v>
          </cell>
          <cell r="D518">
            <v>1546.73</v>
          </cell>
          <cell r="F518">
            <v>669.20999999999674</v>
          </cell>
          <cell r="G518">
            <v>936.89</v>
          </cell>
        </row>
        <row r="519">
          <cell r="B519">
            <v>515</v>
          </cell>
          <cell r="C519">
            <v>1106.9599999999973</v>
          </cell>
          <cell r="D519">
            <v>1549.74</v>
          </cell>
          <cell r="F519">
            <v>670.50999999999669</v>
          </cell>
          <cell r="G519">
            <v>938.71</v>
          </cell>
        </row>
        <row r="520">
          <cell r="B520">
            <v>516</v>
          </cell>
          <cell r="C520">
            <v>1109.1099999999974</v>
          </cell>
          <cell r="D520">
            <v>1552.75</v>
          </cell>
          <cell r="F520">
            <v>671.80999999999665</v>
          </cell>
          <cell r="G520">
            <v>940.53</v>
          </cell>
        </row>
        <row r="521">
          <cell r="B521">
            <v>517</v>
          </cell>
          <cell r="C521">
            <v>1111.2599999999975</v>
          </cell>
          <cell r="D521">
            <v>1555.76</v>
          </cell>
          <cell r="F521">
            <v>673.1099999999966</v>
          </cell>
          <cell r="G521">
            <v>942.35</v>
          </cell>
        </row>
        <row r="522">
          <cell r="B522">
            <v>518</v>
          </cell>
          <cell r="C522">
            <v>1113.4099999999976</v>
          </cell>
          <cell r="D522">
            <v>1558.77</v>
          </cell>
          <cell r="F522">
            <v>674.40999999999656</v>
          </cell>
          <cell r="G522">
            <v>944.17</v>
          </cell>
        </row>
        <row r="523">
          <cell r="B523">
            <v>519</v>
          </cell>
          <cell r="C523">
            <v>1115.5599999999977</v>
          </cell>
          <cell r="D523">
            <v>1561.78</v>
          </cell>
          <cell r="F523">
            <v>675.70999999999651</v>
          </cell>
          <cell r="G523">
            <v>945.99</v>
          </cell>
        </row>
        <row r="524">
          <cell r="B524">
            <v>520</v>
          </cell>
          <cell r="C524">
            <v>1117.7099999999978</v>
          </cell>
          <cell r="D524">
            <v>1564.79</v>
          </cell>
          <cell r="F524">
            <v>677.00999999999647</v>
          </cell>
          <cell r="G524">
            <v>947.81</v>
          </cell>
        </row>
        <row r="525">
          <cell r="B525">
            <v>521</v>
          </cell>
          <cell r="C525">
            <v>1119.8599999999979</v>
          </cell>
          <cell r="D525">
            <v>1567.8</v>
          </cell>
          <cell r="F525">
            <v>678.30999999999642</v>
          </cell>
          <cell r="G525">
            <v>949.63</v>
          </cell>
        </row>
        <row r="526">
          <cell r="B526">
            <v>522</v>
          </cell>
          <cell r="C526">
            <v>1122.0099999999979</v>
          </cell>
          <cell r="D526">
            <v>1570.81</v>
          </cell>
          <cell r="F526">
            <v>679.60999999999638</v>
          </cell>
          <cell r="G526">
            <v>951.45</v>
          </cell>
        </row>
        <row r="527">
          <cell r="B527">
            <v>523</v>
          </cell>
          <cell r="C527">
            <v>1124.159999999998</v>
          </cell>
          <cell r="D527">
            <v>1573.82</v>
          </cell>
          <cell r="F527">
            <v>680.90999999999633</v>
          </cell>
          <cell r="G527">
            <v>953.27</v>
          </cell>
        </row>
        <row r="528">
          <cell r="B528">
            <v>524</v>
          </cell>
          <cell r="C528">
            <v>1126.3099999999981</v>
          </cell>
          <cell r="D528">
            <v>1576.83</v>
          </cell>
          <cell r="F528">
            <v>682.20999999999628</v>
          </cell>
          <cell r="G528">
            <v>955.09</v>
          </cell>
        </row>
        <row r="529">
          <cell r="B529">
            <v>525</v>
          </cell>
          <cell r="C529">
            <v>1128.4599999999982</v>
          </cell>
          <cell r="D529">
            <v>1579.84</v>
          </cell>
          <cell r="F529">
            <v>683.50999999999624</v>
          </cell>
          <cell r="G529">
            <v>956.91</v>
          </cell>
        </row>
        <row r="530">
          <cell r="B530">
            <v>526</v>
          </cell>
          <cell r="C530">
            <v>1130.6099999999983</v>
          </cell>
          <cell r="D530">
            <v>1582.85</v>
          </cell>
          <cell r="F530">
            <v>684.80999999999619</v>
          </cell>
          <cell r="G530">
            <v>958.73</v>
          </cell>
        </row>
        <row r="531">
          <cell r="B531">
            <v>527</v>
          </cell>
          <cell r="C531">
            <v>1132.7599999999984</v>
          </cell>
          <cell r="D531">
            <v>1585.86</v>
          </cell>
          <cell r="F531">
            <v>686.10999999999615</v>
          </cell>
          <cell r="G531">
            <v>960.55</v>
          </cell>
        </row>
        <row r="532">
          <cell r="B532">
            <v>528</v>
          </cell>
          <cell r="C532">
            <v>1134.9099999999985</v>
          </cell>
          <cell r="D532">
            <v>1588.87</v>
          </cell>
          <cell r="F532">
            <v>687.4099999999961</v>
          </cell>
          <cell r="G532">
            <v>962.37</v>
          </cell>
        </row>
        <row r="533">
          <cell r="B533">
            <v>529</v>
          </cell>
          <cell r="C533">
            <v>1137.0599999999986</v>
          </cell>
          <cell r="D533">
            <v>1591.88</v>
          </cell>
          <cell r="F533">
            <v>688.70999999999606</v>
          </cell>
          <cell r="G533">
            <v>964.19</v>
          </cell>
        </row>
        <row r="534">
          <cell r="B534">
            <v>530</v>
          </cell>
          <cell r="C534">
            <v>1139.2099999999987</v>
          </cell>
          <cell r="D534">
            <v>1594.89</v>
          </cell>
          <cell r="F534">
            <v>690.00999999999601</v>
          </cell>
          <cell r="G534">
            <v>966.01</v>
          </cell>
        </row>
        <row r="535">
          <cell r="B535">
            <v>531</v>
          </cell>
          <cell r="C535">
            <v>1141.3599999999988</v>
          </cell>
          <cell r="D535">
            <v>1597.9</v>
          </cell>
          <cell r="F535">
            <v>691.30999999999597</v>
          </cell>
          <cell r="G535">
            <v>967.83</v>
          </cell>
        </row>
        <row r="536">
          <cell r="B536">
            <v>532</v>
          </cell>
          <cell r="C536">
            <v>1143.5099999999989</v>
          </cell>
          <cell r="D536">
            <v>1600.91</v>
          </cell>
          <cell r="F536">
            <v>692.60999999999592</v>
          </cell>
          <cell r="G536">
            <v>969.65</v>
          </cell>
        </row>
        <row r="537">
          <cell r="B537">
            <v>533</v>
          </cell>
          <cell r="C537">
            <v>1145.6599999999989</v>
          </cell>
          <cell r="D537">
            <v>1603.92</v>
          </cell>
          <cell r="F537">
            <v>693.90999999999588</v>
          </cell>
          <cell r="G537">
            <v>971.47</v>
          </cell>
        </row>
        <row r="538">
          <cell r="B538">
            <v>534</v>
          </cell>
          <cell r="C538">
            <v>1147.809999999999</v>
          </cell>
          <cell r="D538">
            <v>1606.93</v>
          </cell>
          <cell r="F538">
            <v>695.20999999999583</v>
          </cell>
          <cell r="G538">
            <v>973.29</v>
          </cell>
        </row>
        <row r="539">
          <cell r="B539">
            <v>535</v>
          </cell>
          <cell r="C539">
            <v>1149.9599999999991</v>
          </cell>
          <cell r="D539">
            <v>1609.94</v>
          </cell>
          <cell r="F539">
            <v>696.50999999999578</v>
          </cell>
          <cell r="G539">
            <v>975.11</v>
          </cell>
        </row>
        <row r="540">
          <cell r="B540">
            <v>536</v>
          </cell>
          <cell r="C540">
            <v>1152.1099999999992</v>
          </cell>
          <cell r="D540">
            <v>1612.95</v>
          </cell>
          <cell r="F540">
            <v>697.80999999999574</v>
          </cell>
          <cell r="G540">
            <v>976.93</v>
          </cell>
        </row>
        <row r="541">
          <cell r="B541">
            <v>537</v>
          </cell>
          <cell r="C541">
            <v>1154.2599999999993</v>
          </cell>
          <cell r="D541">
            <v>1615.96</v>
          </cell>
          <cell r="F541">
            <v>699.10999999999569</v>
          </cell>
          <cell r="G541">
            <v>978.75</v>
          </cell>
        </row>
        <row r="542">
          <cell r="B542">
            <v>538</v>
          </cell>
          <cell r="C542">
            <v>1156.4099999999994</v>
          </cell>
          <cell r="D542">
            <v>1618.97</v>
          </cell>
          <cell r="F542">
            <v>700.40999999999565</v>
          </cell>
          <cell r="G542">
            <v>980.57</v>
          </cell>
        </row>
        <row r="543">
          <cell r="B543">
            <v>539</v>
          </cell>
          <cell r="C543">
            <v>1158.5599999999995</v>
          </cell>
          <cell r="D543">
            <v>1621.98</v>
          </cell>
          <cell r="F543">
            <v>701.7099999999956</v>
          </cell>
          <cell r="G543">
            <v>982.39</v>
          </cell>
        </row>
        <row r="544">
          <cell r="B544">
            <v>540</v>
          </cell>
          <cell r="C544">
            <v>1160.7099999999996</v>
          </cell>
          <cell r="D544">
            <v>1624.99</v>
          </cell>
          <cell r="F544">
            <v>703.00999999999556</v>
          </cell>
          <cell r="G544">
            <v>984.21</v>
          </cell>
        </row>
        <row r="545">
          <cell r="B545">
            <v>541</v>
          </cell>
          <cell r="C545">
            <v>1162.8599999999997</v>
          </cell>
          <cell r="D545">
            <v>1628</v>
          </cell>
          <cell r="F545">
            <v>704.30999999999551</v>
          </cell>
          <cell r="G545">
            <v>986.03</v>
          </cell>
        </row>
        <row r="546">
          <cell r="B546">
            <v>542</v>
          </cell>
          <cell r="C546">
            <v>1165.0099999999998</v>
          </cell>
          <cell r="D546">
            <v>1631.01</v>
          </cell>
          <cell r="F546">
            <v>705.60999999999547</v>
          </cell>
          <cell r="G546">
            <v>987.85</v>
          </cell>
        </row>
        <row r="547">
          <cell r="B547">
            <v>543</v>
          </cell>
          <cell r="C547">
            <v>1167.1599999999999</v>
          </cell>
          <cell r="D547">
            <v>1634.02</v>
          </cell>
          <cell r="F547">
            <v>706.90999999999542</v>
          </cell>
          <cell r="G547">
            <v>989.67</v>
          </cell>
        </row>
        <row r="548">
          <cell r="B548">
            <v>544</v>
          </cell>
          <cell r="C548">
            <v>1169.31</v>
          </cell>
          <cell r="D548">
            <v>1637.03</v>
          </cell>
          <cell r="F548">
            <v>708.20999999999538</v>
          </cell>
          <cell r="G548">
            <v>991.49</v>
          </cell>
        </row>
        <row r="549">
          <cell r="B549">
            <v>545</v>
          </cell>
          <cell r="C549">
            <v>1171.46</v>
          </cell>
          <cell r="D549">
            <v>1640.04</v>
          </cell>
          <cell r="F549">
            <v>709.50999999999533</v>
          </cell>
          <cell r="G549">
            <v>993.31</v>
          </cell>
        </row>
        <row r="550">
          <cell r="B550">
            <v>546</v>
          </cell>
          <cell r="C550">
            <v>1173.6100000000001</v>
          </cell>
          <cell r="D550">
            <v>1643.05</v>
          </cell>
          <cell r="F550">
            <v>710.80999999999528</v>
          </cell>
          <cell r="G550">
            <v>995.13</v>
          </cell>
        </row>
        <row r="551">
          <cell r="B551">
            <v>547</v>
          </cell>
          <cell r="C551">
            <v>1175.7600000000002</v>
          </cell>
          <cell r="D551">
            <v>1646.06</v>
          </cell>
          <cell r="F551">
            <v>712.10999999999524</v>
          </cell>
          <cell r="G551">
            <v>996.95</v>
          </cell>
        </row>
        <row r="552">
          <cell r="B552">
            <v>548</v>
          </cell>
          <cell r="C552">
            <v>1177.9100000000003</v>
          </cell>
          <cell r="D552">
            <v>1649.07</v>
          </cell>
          <cell r="F552">
            <v>713.40999999999519</v>
          </cell>
          <cell r="G552">
            <v>998.77</v>
          </cell>
        </row>
        <row r="553">
          <cell r="B553">
            <v>549</v>
          </cell>
          <cell r="C553">
            <v>1180.0600000000004</v>
          </cell>
          <cell r="D553">
            <v>1652.08</v>
          </cell>
          <cell r="F553">
            <v>714.70999999999515</v>
          </cell>
          <cell r="G553">
            <v>1000.59</v>
          </cell>
        </row>
        <row r="554">
          <cell r="B554">
            <v>550</v>
          </cell>
          <cell r="C554">
            <v>1182.2100000000005</v>
          </cell>
          <cell r="D554">
            <v>1655.09</v>
          </cell>
          <cell r="F554">
            <v>716.0099999999951</v>
          </cell>
          <cell r="G554">
            <v>1002.41</v>
          </cell>
        </row>
        <row r="555">
          <cell r="B555">
            <v>551</v>
          </cell>
          <cell r="C555">
            <v>1184.3600000000006</v>
          </cell>
          <cell r="D555">
            <v>1658.1</v>
          </cell>
          <cell r="F555">
            <v>717.30999999999506</v>
          </cell>
          <cell r="G555">
            <v>1004.23</v>
          </cell>
        </row>
        <row r="556">
          <cell r="B556">
            <v>552</v>
          </cell>
          <cell r="C556">
            <v>1186.5100000000007</v>
          </cell>
          <cell r="D556">
            <v>1661.11</v>
          </cell>
          <cell r="F556">
            <v>718.60999999999501</v>
          </cell>
          <cell r="G556">
            <v>1006.05</v>
          </cell>
        </row>
        <row r="557">
          <cell r="B557">
            <v>553</v>
          </cell>
          <cell r="C557">
            <v>1188.6600000000008</v>
          </cell>
          <cell r="D557">
            <v>1664.12</v>
          </cell>
          <cell r="F557">
            <v>719.90999999999497</v>
          </cell>
          <cell r="G557">
            <v>1007.87</v>
          </cell>
        </row>
        <row r="558">
          <cell r="B558">
            <v>554</v>
          </cell>
          <cell r="C558">
            <v>1190.8100000000009</v>
          </cell>
          <cell r="D558">
            <v>1667.13</v>
          </cell>
          <cell r="F558">
            <v>721.20999999999492</v>
          </cell>
          <cell r="G558">
            <v>1009.69</v>
          </cell>
        </row>
        <row r="559">
          <cell r="B559">
            <v>555</v>
          </cell>
          <cell r="C559">
            <v>1192.9600000000009</v>
          </cell>
          <cell r="D559">
            <v>1670.14</v>
          </cell>
          <cell r="F559">
            <v>722.50999999999487</v>
          </cell>
          <cell r="G559">
            <v>1011.51</v>
          </cell>
        </row>
        <row r="560">
          <cell r="B560">
            <v>556</v>
          </cell>
          <cell r="C560">
            <v>1195.110000000001</v>
          </cell>
          <cell r="D560">
            <v>1673.15</v>
          </cell>
          <cell r="F560">
            <v>723.80999999999483</v>
          </cell>
          <cell r="G560">
            <v>1013.33</v>
          </cell>
        </row>
        <row r="561">
          <cell r="B561">
            <v>557</v>
          </cell>
          <cell r="C561">
            <v>1197.2600000000011</v>
          </cell>
          <cell r="D561">
            <v>1676.16</v>
          </cell>
          <cell r="F561">
            <v>725.10999999999478</v>
          </cell>
          <cell r="G561">
            <v>1015.15</v>
          </cell>
        </row>
        <row r="562">
          <cell r="B562">
            <v>558</v>
          </cell>
          <cell r="C562">
            <v>1199.4100000000012</v>
          </cell>
          <cell r="D562">
            <v>1679.17</v>
          </cell>
          <cell r="F562">
            <v>726.40999999999474</v>
          </cell>
          <cell r="G562">
            <v>1016.97</v>
          </cell>
        </row>
        <row r="563">
          <cell r="B563">
            <v>559</v>
          </cell>
          <cell r="C563">
            <v>1201.5600000000013</v>
          </cell>
          <cell r="D563">
            <v>1682.18</v>
          </cell>
          <cell r="F563">
            <v>727.70999999999469</v>
          </cell>
          <cell r="G563">
            <v>1018.79</v>
          </cell>
        </row>
        <row r="564">
          <cell r="B564">
            <v>560</v>
          </cell>
          <cell r="C564">
            <v>1203.7100000000014</v>
          </cell>
          <cell r="D564">
            <v>1685.19</v>
          </cell>
          <cell r="F564">
            <v>729.00999999999465</v>
          </cell>
          <cell r="G564">
            <v>1020.61</v>
          </cell>
        </row>
        <row r="565">
          <cell r="B565">
            <v>561</v>
          </cell>
          <cell r="C565">
            <v>1205.8600000000015</v>
          </cell>
          <cell r="D565">
            <v>1688.2</v>
          </cell>
          <cell r="F565">
            <v>730.3099999999946</v>
          </cell>
          <cell r="G565">
            <v>1022.43</v>
          </cell>
        </row>
        <row r="566">
          <cell r="B566">
            <v>562</v>
          </cell>
          <cell r="C566">
            <v>1208.0100000000016</v>
          </cell>
          <cell r="D566">
            <v>1691.21</v>
          </cell>
          <cell r="F566">
            <v>731.60999999999456</v>
          </cell>
          <cell r="G566">
            <v>1024.25</v>
          </cell>
        </row>
        <row r="567">
          <cell r="B567">
            <v>563</v>
          </cell>
          <cell r="C567">
            <v>1210.1600000000017</v>
          </cell>
          <cell r="D567">
            <v>1694.22</v>
          </cell>
          <cell r="F567">
            <v>732.90999999999451</v>
          </cell>
          <cell r="G567">
            <v>1026.07</v>
          </cell>
        </row>
        <row r="568">
          <cell r="B568">
            <v>564</v>
          </cell>
          <cell r="C568">
            <v>1212.3100000000018</v>
          </cell>
          <cell r="D568">
            <v>1697.23</v>
          </cell>
          <cell r="F568">
            <v>734.20999999999447</v>
          </cell>
          <cell r="G568">
            <v>1027.8900000000001</v>
          </cell>
        </row>
        <row r="569">
          <cell r="B569">
            <v>565</v>
          </cell>
          <cell r="C569">
            <v>1214.4600000000019</v>
          </cell>
          <cell r="D569">
            <v>1700.24</v>
          </cell>
          <cell r="F569">
            <v>735.50999999999442</v>
          </cell>
          <cell r="G569">
            <v>1029.71</v>
          </cell>
        </row>
        <row r="570">
          <cell r="B570">
            <v>566</v>
          </cell>
          <cell r="C570">
            <v>1216.6100000000019</v>
          </cell>
          <cell r="D570">
            <v>1703.25</v>
          </cell>
          <cell r="F570">
            <v>736.80999999999437</v>
          </cell>
          <cell r="G570">
            <v>1031.53</v>
          </cell>
        </row>
        <row r="571">
          <cell r="B571">
            <v>567</v>
          </cell>
          <cell r="C571">
            <v>1218.760000000002</v>
          </cell>
          <cell r="D571">
            <v>1706.26</v>
          </cell>
          <cell r="F571">
            <v>738.10999999999433</v>
          </cell>
          <cell r="G571">
            <v>1033.3499999999999</v>
          </cell>
        </row>
        <row r="572">
          <cell r="B572">
            <v>568</v>
          </cell>
          <cell r="C572">
            <v>1220.9100000000021</v>
          </cell>
          <cell r="D572">
            <v>1709.27</v>
          </cell>
          <cell r="F572">
            <v>739.40999999999428</v>
          </cell>
          <cell r="G572">
            <v>1035.17</v>
          </cell>
        </row>
        <row r="573">
          <cell r="B573">
            <v>569</v>
          </cell>
          <cell r="C573">
            <v>1223.0600000000022</v>
          </cell>
          <cell r="D573">
            <v>1712.28</v>
          </cell>
          <cell r="F573">
            <v>740.70999999999424</v>
          </cell>
          <cell r="G573">
            <v>1036.99</v>
          </cell>
        </row>
        <row r="574">
          <cell r="B574">
            <v>570</v>
          </cell>
          <cell r="C574">
            <v>1225.2100000000023</v>
          </cell>
          <cell r="D574">
            <v>1715.29</v>
          </cell>
          <cell r="F574">
            <v>742.00999999999419</v>
          </cell>
          <cell r="G574">
            <v>1038.81</v>
          </cell>
        </row>
        <row r="575">
          <cell r="B575">
            <v>571</v>
          </cell>
          <cell r="C575">
            <v>1227.3600000000024</v>
          </cell>
          <cell r="D575">
            <v>1718.3</v>
          </cell>
          <cell r="F575">
            <v>743.30999999999415</v>
          </cell>
          <cell r="G575">
            <v>1040.6300000000001</v>
          </cell>
        </row>
        <row r="576">
          <cell r="B576">
            <v>572</v>
          </cell>
          <cell r="C576">
            <v>1229.5100000000025</v>
          </cell>
          <cell r="D576">
            <v>1721.31</v>
          </cell>
          <cell r="F576">
            <v>744.6099999999941</v>
          </cell>
          <cell r="G576">
            <v>1042.45</v>
          </cell>
        </row>
        <row r="577">
          <cell r="B577">
            <v>573</v>
          </cell>
          <cell r="C577">
            <v>1231.6600000000026</v>
          </cell>
          <cell r="D577">
            <v>1724.32</v>
          </cell>
          <cell r="F577">
            <v>745.90999999999406</v>
          </cell>
          <cell r="G577">
            <v>1044.27</v>
          </cell>
        </row>
        <row r="578">
          <cell r="B578">
            <v>574</v>
          </cell>
          <cell r="C578">
            <v>1233.8100000000027</v>
          </cell>
          <cell r="D578">
            <v>1727.33</v>
          </cell>
          <cell r="F578">
            <v>747.20999999999401</v>
          </cell>
          <cell r="G578">
            <v>1046.0899999999999</v>
          </cell>
        </row>
        <row r="579">
          <cell r="B579">
            <v>575</v>
          </cell>
          <cell r="C579">
            <v>1235.9600000000028</v>
          </cell>
          <cell r="D579">
            <v>1730.34</v>
          </cell>
          <cell r="F579">
            <v>748.50999999999397</v>
          </cell>
          <cell r="G579">
            <v>1047.9100000000001</v>
          </cell>
        </row>
        <row r="580">
          <cell r="B580">
            <v>576</v>
          </cell>
          <cell r="C580">
            <v>1238.1100000000029</v>
          </cell>
          <cell r="D580">
            <v>1733.35</v>
          </cell>
          <cell r="F580">
            <v>749.80999999999392</v>
          </cell>
          <cell r="G580">
            <v>1049.73</v>
          </cell>
        </row>
        <row r="581">
          <cell r="B581">
            <v>577</v>
          </cell>
          <cell r="C581">
            <v>1240.2600000000029</v>
          </cell>
          <cell r="D581">
            <v>1736.36</v>
          </cell>
          <cell r="F581">
            <v>751.10999999999387</v>
          </cell>
          <cell r="G581">
            <v>1051.55</v>
          </cell>
        </row>
        <row r="582">
          <cell r="B582">
            <v>578</v>
          </cell>
          <cell r="C582">
            <v>1242.410000000003</v>
          </cell>
          <cell r="D582">
            <v>1739.37</v>
          </cell>
          <cell r="F582">
            <v>752.40999999999383</v>
          </cell>
          <cell r="G582">
            <v>1053.3699999999999</v>
          </cell>
        </row>
        <row r="583">
          <cell r="B583">
            <v>579</v>
          </cell>
          <cell r="C583">
            <v>1244.5600000000031</v>
          </cell>
          <cell r="D583">
            <v>1742.38</v>
          </cell>
          <cell r="F583">
            <v>753.70999999999378</v>
          </cell>
          <cell r="G583">
            <v>1055.19</v>
          </cell>
        </row>
        <row r="584">
          <cell r="B584">
            <v>580</v>
          </cell>
          <cell r="C584">
            <v>1246.7100000000032</v>
          </cell>
          <cell r="D584">
            <v>1745.39</v>
          </cell>
          <cell r="F584">
            <v>755.00999999999374</v>
          </cell>
          <cell r="G584">
            <v>1057.01</v>
          </cell>
        </row>
        <row r="585">
          <cell r="B585">
            <v>581</v>
          </cell>
          <cell r="C585">
            <v>1248.8600000000033</v>
          </cell>
          <cell r="D585">
            <v>1748.4</v>
          </cell>
          <cell r="F585">
            <v>756.30999999999369</v>
          </cell>
          <cell r="G585">
            <v>1058.83</v>
          </cell>
        </row>
        <row r="586">
          <cell r="B586">
            <v>582</v>
          </cell>
          <cell r="C586">
            <v>1251.0100000000034</v>
          </cell>
          <cell r="D586">
            <v>1751.41</v>
          </cell>
          <cell r="F586">
            <v>757.60999999999365</v>
          </cell>
          <cell r="G586">
            <v>1060.6500000000001</v>
          </cell>
        </row>
        <row r="587">
          <cell r="B587">
            <v>583</v>
          </cell>
          <cell r="C587">
            <v>1253.1600000000035</v>
          </cell>
          <cell r="D587">
            <v>1754.42</v>
          </cell>
          <cell r="F587">
            <v>758.9099999999936</v>
          </cell>
          <cell r="G587">
            <v>1062.47</v>
          </cell>
        </row>
        <row r="588">
          <cell r="B588">
            <v>584</v>
          </cell>
          <cell r="C588">
            <v>1255.3100000000036</v>
          </cell>
          <cell r="D588">
            <v>1757.43</v>
          </cell>
          <cell r="F588">
            <v>760.20999999999356</v>
          </cell>
          <cell r="G588">
            <v>1064.29</v>
          </cell>
        </row>
        <row r="589">
          <cell r="B589">
            <v>585</v>
          </cell>
          <cell r="C589">
            <v>1257.4600000000037</v>
          </cell>
          <cell r="D589">
            <v>1760.44</v>
          </cell>
          <cell r="F589">
            <v>761.50999999999351</v>
          </cell>
          <cell r="G589">
            <v>1066.1099999999999</v>
          </cell>
        </row>
        <row r="590">
          <cell r="B590">
            <v>586</v>
          </cell>
          <cell r="C590">
            <v>1259.6100000000038</v>
          </cell>
          <cell r="D590">
            <v>1763.45</v>
          </cell>
          <cell r="F590">
            <v>762.80999999999347</v>
          </cell>
          <cell r="G590">
            <v>1067.93</v>
          </cell>
        </row>
        <row r="591">
          <cell r="B591">
            <v>587</v>
          </cell>
          <cell r="C591">
            <v>1261.7600000000039</v>
          </cell>
          <cell r="D591">
            <v>1766.46</v>
          </cell>
          <cell r="F591">
            <v>764.10999999999342</v>
          </cell>
          <cell r="G591">
            <v>1069.75</v>
          </cell>
        </row>
        <row r="592">
          <cell r="B592">
            <v>588</v>
          </cell>
          <cell r="C592">
            <v>1263.9100000000039</v>
          </cell>
          <cell r="D592">
            <v>1769.47</v>
          </cell>
          <cell r="F592">
            <v>765.40999999999337</v>
          </cell>
          <cell r="G592">
            <v>1071.57</v>
          </cell>
        </row>
        <row r="593">
          <cell r="B593">
            <v>589</v>
          </cell>
          <cell r="C593">
            <v>1266.060000000004</v>
          </cell>
          <cell r="D593">
            <v>1772.48</v>
          </cell>
          <cell r="F593">
            <v>766.70999999999333</v>
          </cell>
          <cell r="G593">
            <v>1073.3900000000001</v>
          </cell>
        </row>
        <row r="594">
          <cell r="B594">
            <v>590</v>
          </cell>
          <cell r="C594">
            <v>1268.2100000000041</v>
          </cell>
          <cell r="D594">
            <v>1775.49</v>
          </cell>
          <cell r="F594">
            <v>768.00999999999328</v>
          </cell>
          <cell r="G594">
            <v>1075.21</v>
          </cell>
        </row>
        <row r="595">
          <cell r="B595">
            <v>591</v>
          </cell>
          <cell r="C595">
            <v>1270.3600000000042</v>
          </cell>
          <cell r="D595">
            <v>1778.5</v>
          </cell>
          <cell r="F595">
            <v>769.30999999999324</v>
          </cell>
          <cell r="G595">
            <v>1077.03</v>
          </cell>
        </row>
        <row r="596">
          <cell r="B596">
            <v>592</v>
          </cell>
          <cell r="C596">
            <v>1272.5100000000043</v>
          </cell>
          <cell r="D596">
            <v>1781.51</v>
          </cell>
          <cell r="F596">
            <v>770.60999999999319</v>
          </cell>
          <cell r="G596">
            <v>1078.8499999999999</v>
          </cell>
        </row>
        <row r="597">
          <cell r="B597">
            <v>593</v>
          </cell>
          <cell r="C597">
            <v>1274.6600000000044</v>
          </cell>
          <cell r="D597">
            <v>1784.52</v>
          </cell>
          <cell r="F597">
            <v>771.90999999999315</v>
          </cell>
          <cell r="G597">
            <v>1080.67</v>
          </cell>
        </row>
        <row r="598">
          <cell r="B598">
            <v>594</v>
          </cell>
          <cell r="C598">
            <v>1276.8100000000045</v>
          </cell>
          <cell r="D598">
            <v>1787.53</v>
          </cell>
          <cell r="F598">
            <v>773.2099999999931</v>
          </cell>
          <cell r="G598">
            <v>1082.49</v>
          </cell>
        </row>
        <row r="599">
          <cell r="B599">
            <v>595</v>
          </cell>
          <cell r="C599">
            <v>1278.9600000000046</v>
          </cell>
          <cell r="D599">
            <v>1790.54</v>
          </cell>
          <cell r="F599">
            <v>774.50999999999306</v>
          </cell>
          <cell r="G599">
            <v>1084.31</v>
          </cell>
        </row>
        <row r="600">
          <cell r="B600">
            <v>596</v>
          </cell>
          <cell r="C600">
            <v>1281.1100000000047</v>
          </cell>
          <cell r="D600">
            <v>1793.55</v>
          </cell>
          <cell r="F600">
            <v>775.80999999999301</v>
          </cell>
          <cell r="G600">
            <v>1086.1300000000001</v>
          </cell>
        </row>
        <row r="601">
          <cell r="B601">
            <v>597</v>
          </cell>
          <cell r="C601">
            <v>1283.2600000000048</v>
          </cell>
          <cell r="D601">
            <v>1796.56</v>
          </cell>
          <cell r="F601">
            <v>777.10999999999297</v>
          </cell>
          <cell r="G601">
            <v>1087.95</v>
          </cell>
        </row>
        <row r="602">
          <cell r="B602">
            <v>598</v>
          </cell>
          <cell r="C602">
            <v>1285.4100000000049</v>
          </cell>
          <cell r="D602">
            <v>1799.57</v>
          </cell>
          <cell r="F602">
            <v>778.40999999999292</v>
          </cell>
          <cell r="G602">
            <v>1089.77</v>
          </cell>
        </row>
        <row r="603">
          <cell r="B603">
            <v>599</v>
          </cell>
          <cell r="C603">
            <v>1287.5600000000049</v>
          </cell>
          <cell r="D603">
            <v>1802.58</v>
          </cell>
          <cell r="F603">
            <v>779.70999999999287</v>
          </cell>
          <cell r="G603">
            <v>1091.5899999999999</v>
          </cell>
        </row>
        <row r="604">
          <cell r="B604">
            <v>600</v>
          </cell>
          <cell r="C604">
            <v>1289.710000000005</v>
          </cell>
          <cell r="D604">
            <v>1805.59</v>
          </cell>
          <cell r="F604">
            <v>781.00999999999283</v>
          </cell>
          <cell r="G604">
            <v>1093.4100000000001</v>
          </cell>
        </row>
        <row r="605">
          <cell r="B605">
            <v>601</v>
          </cell>
          <cell r="C605">
            <v>1291.8600000000051</v>
          </cell>
          <cell r="D605">
            <v>1808.6</v>
          </cell>
          <cell r="F605">
            <v>782.30999999999278</v>
          </cell>
          <cell r="G605">
            <v>1095.23</v>
          </cell>
        </row>
        <row r="606">
          <cell r="B606">
            <v>602</v>
          </cell>
          <cell r="C606">
            <v>1294.0100000000052</v>
          </cell>
          <cell r="D606">
            <v>1811.61</v>
          </cell>
          <cell r="F606">
            <v>783.60999999999274</v>
          </cell>
          <cell r="G606">
            <v>1097.05</v>
          </cell>
        </row>
        <row r="607">
          <cell r="B607">
            <v>603</v>
          </cell>
          <cell r="C607">
            <v>1296.1600000000053</v>
          </cell>
          <cell r="D607">
            <v>1814.62</v>
          </cell>
          <cell r="F607">
            <v>784.90999999999269</v>
          </cell>
          <cell r="G607">
            <v>1098.8699999999999</v>
          </cell>
        </row>
        <row r="608">
          <cell r="B608">
            <v>604</v>
          </cell>
          <cell r="C608">
            <v>1298.3100000000054</v>
          </cell>
          <cell r="D608">
            <v>1817.63</v>
          </cell>
          <cell r="F608">
            <v>786.20999999999265</v>
          </cell>
          <cell r="G608">
            <v>1100.69</v>
          </cell>
        </row>
        <row r="609">
          <cell r="B609">
            <v>605</v>
          </cell>
          <cell r="C609">
            <v>1300.4600000000055</v>
          </cell>
          <cell r="D609">
            <v>1820.64</v>
          </cell>
          <cell r="F609">
            <v>787.5099999999926</v>
          </cell>
          <cell r="G609">
            <v>1102.51</v>
          </cell>
        </row>
        <row r="610">
          <cell r="B610">
            <v>606</v>
          </cell>
          <cell r="C610">
            <v>1302.6100000000056</v>
          </cell>
          <cell r="D610">
            <v>1823.65</v>
          </cell>
          <cell r="F610">
            <v>788.80999999999256</v>
          </cell>
          <cell r="G610">
            <v>1104.33</v>
          </cell>
        </row>
        <row r="611">
          <cell r="B611">
            <v>607</v>
          </cell>
          <cell r="C611">
            <v>1304.7600000000057</v>
          </cell>
          <cell r="D611">
            <v>1826.66</v>
          </cell>
          <cell r="F611">
            <v>790.10999999999251</v>
          </cell>
          <cell r="G611">
            <v>1106.1500000000001</v>
          </cell>
        </row>
        <row r="612">
          <cell r="B612">
            <v>608</v>
          </cell>
          <cell r="C612">
            <v>1306.9100000000058</v>
          </cell>
          <cell r="D612">
            <v>1829.67</v>
          </cell>
          <cell r="F612">
            <v>791.40999999999246</v>
          </cell>
          <cell r="G612">
            <v>1107.97</v>
          </cell>
        </row>
        <row r="613">
          <cell r="B613">
            <v>609</v>
          </cell>
          <cell r="C613">
            <v>1309.0600000000059</v>
          </cell>
          <cell r="D613">
            <v>1832.68</v>
          </cell>
          <cell r="F613">
            <v>792.70999999999242</v>
          </cell>
          <cell r="G613">
            <v>1109.79</v>
          </cell>
        </row>
        <row r="614">
          <cell r="B614">
            <v>610</v>
          </cell>
          <cell r="C614">
            <v>1311.2100000000059</v>
          </cell>
          <cell r="D614">
            <v>1835.69</v>
          </cell>
          <cell r="F614">
            <v>794.00999999999237</v>
          </cell>
          <cell r="G614">
            <v>1111.6099999999999</v>
          </cell>
        </row>
        <row r="615">
          <cell r="B615">
            <v>611</v>
          </cell>
          <cell r="C615">
            <v>1313.360000000006</v>
          </cell>
          <cell r="D615">
            <v>1838.7</v>
          </cell>
          <cell r="F615">
            <v>795.30999999999233</v>
          </cell>
          <cell r="G615">
            <v>1113.43</v>
          </cell>
        </row>
        <row r="616">
          <cell r="B616">
            <v>612</v>
          </cell>
          <cell r="C616">
            <v>1315.5100000000061</v>
          </cell>
          <cell r="D616">
            <v>1841.71</v>
          </cell>
          <cell r="F616">
            <v>796.60999999999228</v>
          </cell>
          <cell r="G616">
            <v>1115.25</v>
          </cell>
        </row>
        <row r="617">
          <cell r="B617">
            <v>613</v>
          </cell>
          <cell r="C617">
            <v>1317.6600000000062</v>
          </cell>
          <cell r="D617">
            <v>1844.72</v>
          </cell>
          <cell r="F617">
            <v>797.90999999999224</v>
          </cell>
          <cell r="G617">
            <v>1117.07</v>
          </cell>
        </row>
        <row r="618">
          <cell r="B618">
            <v>614</v>
          </cell>
          <cell r="C618">
            <v>1319.8100000000063</v>
          </cell>
          <cell r="D618">
            <v>1847.73</v>
          </cell>
          <cell r="F618">
            <v>799.20999999999219</v>
          </cell>
          <cell r="G618">
            <v>1118.8900000000001</v>
          </cell>
        </row>
        <row r="619">
          <cell r="B619">
            <v>615</v>
          </cell>
          <cell r="C619">
            <v>1321.9600000000064</v>
          </cell>
          <cell r="D619">
            <v>1850.74</v>
          </cell>
          <cell r="F619">
            <v>800.50999999999215</v>
          </cell>
          <cell r="G619">
            <v>1120.71</v>
          </cell>
        </row>
        <row r="620">
          <cell r="B620">
            <v>616</v>
          </cell>
          <cell r="C620">
            <v>1324.1100000000065</v>
          </cell>
          <cell r="D620">
            <v>1853.75</v>
          </cell>
          <cell r="F620">
            <v>801.8099999999921</v>
          </cell>
          <cell r="G620">
            <v>1122.53</v>
          </cell>
        </row>
        <row r="621">
          <cell r="B621">
            <v>617</v>
          </cell>
          <cell r="C621">
            <v>1326.2600000000066</v>
          </cell>
          <cell r="D621">
            <v>1856.76</v>
          </cell>
          <cell r="F621">
            <v>803.10999999999206</v>
          </cell>
          <cell r="G621">
            <v>1124.3499999999999</v>
          </cell>
        </row>
        <row r="622">
          <cell r="B622">
            <v>618</v>
          </cell>
          <cell r="C622">
            <v>1328.4100000000067</v>
          </cell>
          <cell r="D622">
            <v>1859.77</v>
          </cell>
          <cell r="F622">
            <v>804.40999999999201</v>
          </cell>
          <cell r="G622">
            <v>1126.17</v>
          </cell>
        </row>
        <row r="623">
          <cell r="B623">
            <v>619</v>
          </cell>
          <cell r="C623">
            <v>1330.5600000000068</v>
          </cell>
          <cell r="D623">
            <v>1862.78</v>
          </cell>
          <cell r="F623">
            <v>805.70999999999196</v>
          </cell>
          <cell r="G623">
            <v>1127.99</v>
          </cell>
        </row>
        <row r="624">
          <cell r="B624">
            <v>620</v>
          </cell>
          <cell r="C624">
            <v>1332.7100000000069</v>
          </cell>
          <cell r="D624">
            <v>1865.79</v>
          </cell>
          <cell r="F624">
            <v>807.00999999999192</v>
          </cell>
          <cell r="G624">
            <v>1129.81</v>
          </cell>
        </row>
        <row r="625">
          <cell r="B625">
            <v>621</v>
          </cell>
          <cell r="C625">
            <v>1334.8600000000069</v>
          </cell>
          <cell r="D625">
            <v>1868.8</v>
          </cell>
          <cell r="F625">
            <v>808.30999999999187</v>
          </cell>
          <cell r="G625">
            <v>1131.6300000000001</v>
          </cell>
        </row>
        <row r="626">
          <cell r="B626">
            <v>622</v>
          </cell>
          <cell r="C626">
            <v>1337.010000000007</v>
          </cell>
          <cell r="D626">
            <v>1871.81</v>
          </cell>
          <cell r="F626">
            <v>809.60999999999183</v>
          </cell>
          <cell r="G626">
            <v>1133.45</v>
          </cell>
        </row>
        <row r="627">
          <cell r="B627">
            <v>623</v>
          </cell>
          <cell r="C627">
            <v>1339.1600000000071</v>
          </cell>
          <cell r="D627">
            <v>1874.82</v>
          </cell>
          <cell r="F627">
            <v>810.90999999999178</v>
          </cell>
          <cell r="G627">
            <v>1135.27</v>
          </cell>
        </row>
        <row r="628">
          <cell r="B628">
            <v>624</v>
          </cell>
          <cell r="C628">
            <v>1341.3100000000072</v>
          </cell>
          <cell r="D628">
            <v>1877.83</v>
          </cell>
          <cell r="F628">
            <v>812.20999999999174</v>
          </cell>
          <cell r="G628">
            <v>1137.0899999999999</v>
          </cell>
        </row>
        <row r="629">
          <cell r="B629">
            <v>625</v>
          </cell>
          <cell r="C629">
            <v>1343.4600000000073</v>
          </cell>
          <cell r="D629">
            <v>1880.84</v>
          </cell>
          <cell r="F629">
            <v>813.50999999999169</v>
          </cell>
          <cell r="G629">
            <v>1138.9100000000001</v>
          </cell>
        </row>
        <row r="630">
          <cell r="B630">
            <v>626</v>
          </cell>
          <cell r="C630">
            <v>1345.6100000000074</v>
          </cell>
          <cell r="D630">
            <v>1883.85</v>
          </cell>
          <cell r="F630">
            <v>814.80999999999165</v>
          </cell>
          <cell r="G630">
            <v>1140.73</v>
          </cell>
        </row>
        <row r="631">
          <cell r="B631">
            <v>627</v>
          </cell>
          <cell r="C631">
            <v>1347.7600000000075</v>
          </cell>
          <cell r="D631">
            <v>1886.86</v>
          </cell>
          <cell r="F631">
            <v>816.1099999999916</v>
          </cell>
          <cell r="G631">
            <v>1142.55</v>
          </cell>
        </row>
        <row r="632">
          <cell r="B632">
            <v>628</v>
          </cell>
          <cell r="C632">
            <v>1349.9100000000076</v>
          </cell>
          <cell r="D632">
            <v>1889.87</v>
          </cell>
          <cell r="F632">
            <v>817.40999999999156</v>
          </cell>
          <cell r="G632">
            <v>1144.3699999999999</v>
          </cell>
        </row>
        <row r="633">
          <cell r="B633">
            <v>629</v>
          </cell>
          <cell r="C633">
            <v>1352.0600000000077</v>
          </cell>
          <cell r="D633">
            <v>1892.88</v>
          </cell>
          <cell r="F633">
            <v>818.70999999999151</v>
          </cell>
          <cell r="G633">
            <v>1146.19</v>
          </cell>
        </row>
        <row r="634">
          <cell r="B634">
            <v>630</v>
          </cell>
          <cell r="C634">
            <v>1354.2100000000078</v>
          </cell>
          <cell r="D634">
            <v>1895.89</v>
          </cell>
          <cell r="F634">
            <v>820.00999999999146</v>
          </cell>
          <cell r="G634">
            <v>1148.01</v>
          </cell>
        </row>
        <row r="635">
          <cell r="B635">
            <v>631</v>
          </cell>
          <cell r="C635">
            <v>1356.3600000000079</v>
          </cell>
          <cell r="D635">
            <v>1898.9</v>
          </cell>
          <cell r="F635">
            <v>821.30999999999142</v>
          </cell>
          <cell r="G635">
            <v>1149.83</v>
          </cell>
        </row>
        <row r="636">
          <cell r="B636">
            <v>632</v>
          </cell>
          <cell r="C636">
            <v>1358.5100000000079</v>
          </cell>
          <cell r="D636">
            <v>1901.91</v>
          </cell>
          <cell r="F636">
            <v>822.60999999999137</v>
          </cell>
          <cell r="G636">
            <v>1151.6500000000001</v>
          </cell>
        </row>
        <row r="637">
          <cell r="B637">
            <v>633</v>
          </cell>
          <cell r="C637">
            <v>1360.660000000008</v>
          </cell>
          <cell r="D637">
            <v>1904.92</v>
          </cell>
          <cell r="F637">
            <v>823.90999999999133</v>
          </cell>
          <cell r="G637">
            <v>1153.47</v>
          </cell>
        </row>
        <row r="638">
          <cell r="B638">
            <v>634</v>
          </cell>
          <cell r="C638">
            <v>1362.8100000000081</v>
          </cell>
          <cell r="D638">
            <v>1907.93</v>
          </cell>
          <cell r="F638">
            <v>825.20999999999128</v>
          </cell>
          <cell r="G638">
            <v>1155.29</v>
          </cell>
        </row>
        <row r="639">
          <cell r="B639">
            <v>635</v>
          </cell>
          <cell r="C639">
            <v>1364.9600000000082</v>
          </cell>
          <cell r="D639">
            <v>1910.94</v>
          </cell>
          <cell r="F639">
            <v>826.50999999999124</v>
          </cell>
          <cell r="G639">
            <v>1157.1099999999999</v>
          </cell>
        </row>
        <row r="640">
          <cell r="B640">
            <v>636</v>
          </cell>
          <cell r="C640">
            <v>1367.1100000000083</v>
          </cell>
          <cell r="D640">
            <v>1913.95</v>
          </cell>
          <cell r="F640">
            <v>827.80999999999119</v>
          </cell>
          <cell r="G640">
            <v>1158.93</v>
          </cell>
        </row>
        <row r="641">
          <cell r="B641">
            <v>637</v>
          </cell>
          <cell r="C641">
            <v>1369.2600000000084</v>
          </cell>
          <cell r="D641">
            <v>1916.96</v>
          </cell>
          <cell r="F641">
            <v>829.10999999999115</v>
          </cell>
          <cell r="G641">
            <v>1160.75</v>
          </cell>
        </row>
        <row r="642">
          <cell r="B642">
            <v>638</v>
          </cell>
          <cell r="C642">
            <v>1371.4100000000085</v>
          </cell>
          <cell r="D642">
            <v>1919.97</v>
          </cell>
          <cell r="F642">
            <v>830.4099999999911</v>
          </cell>
          <cell r="G642">
            <v>1162.57</v>
          </cell>
        </row>
        <row r="643">
          <cell r="B643">
            <v>639</v>
          </cell>
          <cell r="C643">
            <v>1373.5600000000086</v>
          </cell>
          <cell r="D643">
            <v>1922.98</v>
          </cell>
          <cell r="F643">
            <v>831.70999999999106</v>
          </cell>
          <cell r="G643">
            <v>1164.3900000000001</v>
          </cell>
        </row>
        <row r="644">
          <cell r="B644">
            <v>640</v>
          </cell>
          <cell r="C644">
            <v>1375.7100000000087</v>
          </cell>
          <cell r="D644">
            <v>1925.99</v>
          </cell>
          <cell r="F644">
            <v>833.00999999999101</v>
          </cell>
          <cell r="G644">
            <v>1166.21</v>
          </cell>
        </row>
        <row r="645">
          <cell r="B645">
            <v>641</v>
          </cell>
          <cell r="C645">
            <v>1377.8600000000088</v>
          </cell>
          <cell r="D645">
            <v>1929</v>
          </cell>
          <cell r="F645">
            <v>834.30999999999096</v>
          </cell>
          <cell r="G645">
            <v>1168.03</v>
          </cell>
        </row>
        <row r="646">
          <cell r="B646">
            <v>642</v>
          </cell>
          <cell r="C646">
            <v>1380.0100000000089</v>
          </cell>
          <cell r="D646">
            <v>1932.01</v>
          </cell>
          <cell r="F646">
            <v>835.60999999999092</v>
          </cell>
          <cell r="G646">
            <v>1169.8499999999999</v>
          </cell>
        </row>
        <row r="647">
          <cell r="B647">
            <v>643</v>
          </cell>
          <cell r="C647">
            <v>1382.1600000000089</v>
          </cell>
          <cell r="D647">
            <v>1935.02</v>
          </cell>
          <cell r="F647">
            <v>836.90999999999087</v>
          </cell>
          <cell r="G647">
            <v>1171.67</v>
          </cell>
        </row>
        <row r="648">
          <cell r="B648">
            <v>644</v>
          </cell>
          <cell r="C648">
            <v>1384.310000000009</v>
          </cell>
          <cell r="D648">
            <v>1938.03</v>
          </cell>
          <cell r="F648">
            <v>838.20999999999083</v>
          </cell>
          <cell r="G648">
            <v>1173.49</v>
          </cell>
        </row>
        <row r="649">
          <cell r="B649">
            <v>645</v>
          </cell>
          <cell r="C649">
            <v>1386.4600000000091</v>
          </cell>
          <cell r="D649">
            <v>1941.04</v>
          </cell>
          <cell r="F649">
            <v>839.50999999999078</v>
          </cell>
          <cell r="G649">
            <v>1175.31</v>
          </cell>
        </row>
        <row r="650">
          <cell r="B650">
            <v>646</v>
          </cell>
          <cell r="C650">
            <v>1388.6100000000092</v>
          </cell>
          <cell r="D650">
            <v>1944.05</v>
          </cell>
          <cell r="F650">
            <v>840.80999999999074</v>
          </cell>
          <cell r="G650">
            <v>1177.1300000000001</v>
          </cell>
        </row>
        <row r="651">
          <cell r="B651">
            <v>647</v>
          </cell>
          <cell r="C651">
            <v>1390.7600000000093</v>
          </cell>
          <cell r="D651">
            <v>1947.06</v>
          </cell>
          <cell r="F651">
            <v>842.10999999999069</v>
          </cell>
          <cell r="G651">
            <v>1178.95</v>
          </cell>
        </row>
        <row r="652">
          <cell r="B652">
            <v>648</v>
          </cell>
          <cell r="C652">
            <v>1392.9100000000094</v>
          </cell>
          <cell r="D652">
            <v>1950.07</v>
          </cell>
          <cell r="F652">
            <v>843.40999999999065</v>
          </cell>
          <cell r="G652">
            <v>1180.77</v>
          </cell>
        </row>
        <row r="653">
          <cell r="B653">
            <v>649</v>
          </cell>
          <cell r="C653">
            <v>1395.0600000000095</v>
          </cell>
          <cell r="D653">
            <v>1953.08</v>
          </cell>
          <cell r="F653">
            <v>844.7099999999906</v>
          </cell>
          <cell r="G653">
            <v>1182.5899999999999</v>
          </cell>
        </row>
        <row r="654">
          <cell r="B654">
            <v>650</v>
          </cell>
          <cell r="C654">
            <v>1397.2100000000096</v>
          </cell>
          <cell r="D654">
            <v>1956.09</v>
          </cell>
          <cell r="F654">
            <v>846.00999999999055</v>
          </cell>
          <cell r="G654">
            <v>1184.4100000000001</v>
          </cell>
        </row>
        <row r="655">
          <cell r="B655">
            <v>651</v>
          </cell>
          <cell r="C655">
            <v>1399.3600000000097</v>
          </cell>
          <cell r="D655">
            <v>1959.1</v>
          </cell>
          <cell r="F655">
            <v>847.30999999999051</v>
          </cell>
          <cell r="G655">
            <v>1186.23</v>
          </cell>
        </row>
        <row r="656">
          <cell r="B656">
            <v>652</v>
          </cell>
          <cell r="C656">
            <v>1401.5100000000098</v>
          </cell>
          <cell r="D656">
            <v>1962.11</v>
          </cell>
          <cell r="F656">
            <v>848.60999999999046</v>
          </cell>
          <cell r="G656">
            <v>1188.05</v>
          </cell>
        </row>
        <row r="657">
          <cell r="B657">
            <v>653</v>
          </cell>
          <cell r="C657">
            <v>1403.6600000000099</v>
          </cell>
          <cell r="D657">
            <v>1965.12</v>
          </cell>
          <cell r="F657">
            <v>849.90999999999042</v>
          </cell>
          <cell r="G657">
            <v>1189.8699999999999</v>
          </cell>
        </row>
        <row r="658">
          <cell r="B658">
            <v>654</v>
          </cell>
          <cell r="C658">
            <v>1405.8100000000099</v>
          </cell>
          <cell r="D658">
            <v>1968.13</v>
          </cell>
          <cell r="F658">
            <v>851.20999999999037</v>
          </cell>
          <cell r="G658">
            <v>1191.69</v>
          </cell>
        </row>
        <row r="659">
          <cell r="B659">
            <v>655</v>
          </cell>
          <cell r="C659">
            <v>1407.96000000001</v>
          </cell>
          <cell r="D659">
            <v>1971.14</v>
          </cell>
          <cell r="F659">
            <v>852.50999999999033</v>
          </cell>
          <cell r="G659">
            <v>1193.51</v>
          </cell>
        </row>
        <row r="660">
          <cell r="B660">
            <v>656</v>
          </cell>
          <cell r="C660">
            <v>1410.1100000000101</v>
          </cell>
          <cell r="D660">
            <v>1974.15</v>
          </cell>
          <cell r="F660">
            <v>853.80999999999028</v>
          </cell>
          <cell r="G660">
            <v>1195.33</v>
          </cell>
        </row>
        <row r="661">
          <cell r="B661">
            <v>657</v>
          </cell>
          <cell r="C661">
            <v>1412.2600000000102</v>
          </cell>
          <cell r="D661">
            <v>1977.16</v>
          </cell>
          <cell r="F661">
            <v>855.10999999999024</v>
          </cell>
          <cell r="G661">
            <v>1197.1500000000001</v>
          </cell>
        </row>
        <row r="662">
          <cell r="B662">
            <v>658</v>
          </cell>
          <cell r="C662">
            <v>1414.4100000000103</v>
          </cell>
          <cell r="D662">
            <v>1980.17</v>
          </cell>
          <cell r="F662">
            <v>856.40999999999019</v>
          </cell>
          <cell r="G662">
            <v>1198.97</v>
          </cell>
        </row>
        <row r="663">
          <cell r="B663">
            <v>659</v>
          </cell>
          <cell r="C663">
            <v>1416.5600000000104</v>
          </cell>
          <cell r="D663">
            <v>1983.18</v>
          </cell>
          <cell r="F663">
            <v>857.70999999999015</v>
          </cell>
          <cell r="G663">
            <v>1200.79</v>
          </cell>
        </row>
        <row r="664">
          <cell r="B664">
            <v>660</v>
          </cell>
          <cell r="C664">
            <v>1418.7100000000105</v>
          </cell>
          <cell r="D664">
            <v>1986.19</v>
          </cell>
          <cell r="F664">
            <v>859.0099999999901</v>
          </cell>
          <cell r="G664">
            <v>1202.6099999999999</v>
          </cell>
        </row>
        <row r="665">
          <cell r="B665">
            <v>661</v>
          </cell>
          <cell r="C665">
            <v>1420.8600000000106</v>
          </cell>
          <cell r="D665">
            <v>1989.2</v>
          </cell>
          <cell r="F665">
            <v>860.30999999999005</v>
          </cell>
          <cell r="G665">
            <v>1204.43</v>
          </cell>
        </row>
        <row r="666">
          <cell r="B666">
            <v>662</v>
          </cell>
          <cell r="C666">
            <v>1423.0100000000107</v>
          </cell>
          <cell r="D666">
            <v>1992.21</v>
          </cell>
          <cell r="F666">
            <v>861.60999999999001</v>
          </cell>
          <cell r="G666">
            <v>1206.25</v>
          </cell>
        </row>
        <row r="667">
          <cell r="B667">
            <v>663</v>
          </cell>
          <cell r="C667">
            <v>1425.1600000000108</v>
          </cell>
          <cell r="D667">
            <v>1995.22</v>
          </cell>
          <cell r="F667">
            <v>862.90999999998996</v>
          </cell>
          <cell r="G667">
            <v>1208.07</v>
          </cell>
        </row>
        <row r="668">
          <cell r="B668">
            <v>664</v>
          </cell>
          <cell r="C668">
            <v>1427.3100000000109</v>
          </cell>
          <cell r="D668">
            <v>1998.23</v>
          </cell>
          <cell r="F668">
            <v>864.20999999998992</v>
          </cell>
          <cell r="G668">
            <v>1209.8900000000001</v>
          </cell>
        </row>
        <row r="669">
          <cell r="B669">
            <v>665</v>
          </cell>
          <cell r="C669">
            <v>1429.460000000011</v>
          </cell>
          <cell r="D669">
            <v>2001.24</v>
          </cell>
          <cell r="F669">
            <v>865.50999999998987</v>
          </cell>
          <cell r="G669">
            <v>1211.71</v>
          </cell>
        </row>
        <row r="670">
          <cell r="B670">
            <v>666</v>
          </cell>
          <cell r="C670">
            <v>1431.610000000011</v>
          </cell>
          <cell r="D670">
            <v>2004.25</v>
          </cell>
          <cell r="F670">
            <v>866.80999999998983</v>
          </cell>
          <cell r="G670">
            <v>1213.53</v>
          </cell>
        </row>
        <row r="671">
          <cell r="B671">
            <v>667</v>
          </cell>
          <cell r="C671">
            <v>1433.7600000000111</v>
          </cell>
          <cell r="D671">
            <v>2007.26</v>
          </cell>
          <cell r="F671">
            <v>868.10999999998978</v>
          </cell>
          <cell r="G671">
            <v>1215.3499999999999</v>
          </cell>
        </row>
        <row r="672">
          <cell r="B672">
            <v>668</v>
          </cell>
          <cell r="C672">
            <v>1435.9100000000112</v>
          </cell>
          <cell r="D672">
            <v>2010.27</v>
          </cell>
          <cell r="F672">
            <v>869.40999999998974</v>
          </cell>
          <cell r="G672">
            <v>1217.17</v>
          </cell>
        </row>
        <row r="673">
          <cell r="B673">
            <v>669</v>
          </cell>
          <cell r="C673">
            <v>1438.0600000000113</v>
          </cell>
          <cell r="D673">
            <v>2013.28</v>
          </cell>
          <cell r="F673">
            <v>870.70999999998969</v>
          </cell>
          <cell r="G673">
            <v>1218.99</v>
          </cell>
        </row>
        <row r="674">
          <cell r="B674">
            <v>670</v>
          </cell>
          <cell r="C674">
            <v>1440.2100000000114</v>
          </cell>
          <cell r="D674">
            <v>2016.29</v>
          </cell>
          <cell r="F674">
            <v>872.00999999998965</v>
          </cell>
          <cell r="G674">
            <v>1220.81</v>
          </cell>
        </row>
        <row r="675">
          <cell r="B675">
            <v>671</v>
          </cell>
          <cell r="C675">
            <v>1442.3600000000115</v>
          </cell>
          <cell r="D675">
            <v>2019.3</v>
          </cell>
          <cell r="F675">
            <v>873.3099999999896</v>
          </cell>
          <cell r="G675">
            <v>1222.6300000000001</v>
          </cell>
        </row>
        <row r="676">
          <cell r="B676">
            <v>672</v>
          </cell>
          <cell r="C676">
            <v>1444.5100000000116</v>
          </cell>
          <cell r="D676">
            <v>2022.31</v>
          </cell>
          <cell r="F676">
            <v>874.60999999998955</v>
          </cell>
          <cell r="G676">
            <v>1224.45</v>
          </cell>
        </row>
        <row r="677">
          <cell r="B677">
            <v>673</v>
          </cell>
          <cell r="C677">
            <v>1446.6600000000117</v>
          </cell>
          <cell r="D677">
            <v>2025.32</v>
          </cell>
          <cell r="F677">
            <v>875.90999999998951</v>
          </cell>
          <cell r="G677">
            <v>1226.27</v>
          </cell>
        </row>
        <row r="678">
          <cell r="B678">
            <v>674</v>
          </cell>
          <cell r="C678">
            <v>1448.8100000000118</v>
          </cell>
          <cell r="D678">
            <v>2028.33</v>
          </cell>
          <cell r="F678">
            <v>877.20999999998946</v>
          </cell>
          <cell r="G678">
            <v>1228.0899999999999</v>
          </cell>
        </row>
        <row r="679">
          <cell r="B679">
            <v>675</v>
          </cell>
          <cell r="C679">
            <v>1450.9600000000119</v>
          </cell>
          <cell r="D679">
            <v>2031.34</v>
          </cell>
          <cell r="F679">
            <v>878.50999999998942</v>
          </cell>
          <cell r="G679">
            <v>1229.9100000000001</v>
          </cell>
        </row>
        <row r="680">
          <cell r="B680">
            <v>676</v>
          </cell>
          <cell r="C680">
            <v>1453.110000000012</v>
          </cell>
          <cell r="D680">
            <v>2034.35</v>
          </cell>
          <cell r="F680">
            <v>879.80999999998937</v>
          </cell>
          <cell r="G680">
            <v>1231.73</v>
          </cell>
        </row>
        <row r="681">
          <cell r="B681">
            <v>677</v>
          </cell>
          <cell r="C681">
            <v>1455.260000000012</v>
          </cell>
          <cell r="D681">
            <v>2037.36</v>
          </cell>
          <cell r="F681">
            <v>881.10999999998933</v>
          </cell>
          <cell r="G681">
            <v>1233.55</v>
          </cell>
        </row>
        <row r="682">
          <cell r="B682">
            <v>678</v>
          </cell>
          <cell r="C682">
            <v>1457.4100000000121</v>
          </cell>
          <cell r="D682">
            <v>2040.37</v>
          </cell>
          <cell r="F682">
            <v>882.40999999998928</v>
          </cell>
          <cell r="G682">
            <v>1235.3699999999999</v>
          </cell>
        </row>
        <row r="683">
          <cell r="B683">
            <v>679</v>
          </cell>
          <cell r="C683">
            <v>1459.5600000000122</v>
          </cell>
          <cell r="D683">
            <v>2043.38</v>
          </cell>
          <cell r="F683">
            <v>883.70999999998924</v>
          </cell>
          <cell r="G683">
            <v>1237.19</v>
          </cell>
        </row>
        <row r="684">
          <cell r="B684">
            <v>680</v>
          </cell>
          <cell r="C684">
            <v>1461.7100000000123</v>
          </cell>
          <cell r="D684">
            <v>2046.39</v>
          </cell>
          <cell r="F684">
            <v>885.00999999998919</v>
          </cell>
          <cell r="G684">
            <v>1239.01</v>
          </cell>
        </row>
        <row r="685">
          <cell r="B685">
            <v>681</v>
          </cell>
          <cell r="C685">
            <v>1463.8600000000124</v>
          </cell>
          <cell r="D685">
            <v>2049.4</v>
          </cell>
          <cell r="F685">
            <v>886.30999999998915</v>
          </cell>
          <cell r="G685">
            <v>1240.83</v>
          </cell>
        </row>
        <row r="686">
          <cell r="B686">
            <v>682</v>
          </cell>
          <cell r="C686">
            <v>1466.0100000000125</v>
          </cell>
          <cell r="D686">
            <v>2052.41</v>
          </cell>
          <cell r="F686">
            <v>887.6099999999891</v>
          </cell>
          <cell r="G686">
            <v>1242.6500000000001</v>
          </cell>
        </row>
        <row r="687">
          <cell r="B687">
            <v>683</v>
          </cell>
          <cell r="C687">
            <v>1468.1600000000126</v>
          </cell>
          <cell r="D687">
            <v>2055.42</v>
          </cell>
          <cell r="F687">
            <v>888.90999999998905</v>
          </cell>
          <cell r="G687">
            <v>1244.47</v>
          </cell>
        </row>
        <row r="688">
          <cell r="B688">
            <v>684</v>
          </cell>
          <cell r="C688">
            <v>1470.3100000000127</v>
          </cell>
          <cell r="D688">
            <v>2058.4299999999998</v>
          </cell>
          <cell r="F688">
            <v>890.20999999998901</v>
          </cell>
          <cell r="G688">
            <v>1246.29</v>
          </cell>
        </row>
        <row r="689">
          <cell r="B689">
            <v>685</v>
          </cell>
          <cell r="C689">
            <v>1472.4600000000128</v>
          </cell>
          <cell r="D689">
            <v>2061.44</v>
          </cell>
          <cell r="F689">
            <v>891.50999999998896</v>
          </cell>
          <cell r="G689">
            <v>1248.1099999999999</v>
          </cell>
        </row>
        <row r="690">
          <cell r="B690">
            <v>686</v>
          </cell>
          <cell r="C690">
            <v>1474.6100000000129</v>
          </cell>
          <cell r="D690">
            <v>2064.4499999999998</v>
          </cell>
          <cell r="F690">
            <v>892.80999999998892</v>
          </cell>
          <cell r="G690">
            <v>1249.93</v>
          </cell>
        </row>
        <row r="691">
          <cell r="B691">
            <v>687</v>
          </cell>
          <cell r="C691">
            <v>1476.760000000013</v>
          </cell>
          <cell r="D691">
            <v>2067.46</v>
          </cell>
          <cell r="F691">
            <v>894.10999999998887</v>
          </cell>
          <cell r="G691">
            <v>1251.75</v>
          </cell>
        </row>
        <row r="692">
          <cell r="B692">
            <v>688</v>
          </cell>
          <cell r="C692">
            <v>1478.910000000013</v>
          </cell>
          <cell r="D692">
            <v>2070.4699999999998</v>
          </cell>
          <cell r="F692">
            <v>895.40999999998883</v>
          </cell>
          <cell r="G692">
            <v>1253.57</v>
          </cell>
        </row>
        <row r="693">
          <cell r="B693">
            <v>689</v>
          </cell>
          <cell r="C693">
            <v>1481.0600000000131</v>
          </cell>
          <cell r="D693">
            <v>2073.48</v>
          </cell>
          <cell r="F693">
            <v>896.70999999998878</v>
          </cell>
          <cell r="G693">
            <v>1255.3900000000001</v>
          </cell>
        </row>
        <row r="694">
          <cell r="B694">
            <v>690</v>
          </cell>
          <cell r="C694">
            <v>1483.2100000000132</v>
          </cell>
          <cell r="D694">
            <v>2076.4899999999998</v>
          </cell>
          <cell r="F694">
            <v>898.00999999998874</v>
          </cell>
          <cell r="G694">
            <v>1257.21</v>
          </cell>
        </row>
        <row r="695">
          <cell r="B695">
            <v>691</v>
          </cell>
          <cell r="C695">
            <v>1485.3600000000133</v>
          </cell>
          <cell r="D695">
            <v>2079.5</v>
          </cell>
          <cell r="F695">
            <v>899.30999999998869</v>
          </cell>
          <cell r="G695">
            <v>1259.03</v>
          </cell>
        </row>
        <row r="696">
          <cell r="B696">
            <v>692</v>
          </cell>
          <cell r="C696">
            <v>1487.5100000000134</v>
          </cell>
          <cell r="D696">
            <v>2082.5100000000002</v>
          </cell>
          <cell r="F696">
            <v>900.60999999998864</v>
          </cell>
          <cell r="G696">
            <v>1260.8499999999999</v>
          </cell>
        </row>
        <row r="697">
          <cell r="B697">
            <v>693</v>
          </cell>
          <cell r="C697">
            <v>1489.6600000000135</v>
          </cell>
          <cell r="D697">
            <v>2085.52</v>
          </cell>
          <cell r="F697">
            <v>901.9099999999886</v>
          </cell>
          <cell r="G697">
            <v>1262.67</v>
          </cell>
        </row>
        <row r="698">
          <cell r="B698">
            <v>694</v>
          </cell>
          <cell r="C698">
            <v>1491.8100000000136</v>
          </cell>
          <cell r="D698">
            <v>2088.5300000000002</v>
          </cell>
          <cell r="F698">
            <v>903.20999999998855</v>
          </cell>
          <cell r="G698">
            <v>1264.49</v>
          </cell>
        </row>
        <row r="699">
          <cell r="B699">
            <v>695</v>
          </cell>
          <cell r="C699">
            <v>1493.9600000000137</v>
          </cell>
          <cell r="D699">
            <v>2091.54</v>
          </cell>
          <cell r="F699">
            <v>904.50999999998851</v>
          </cell>
          <cell r="G699">
            <v>1266.31</v>
          </cell>
        </row>
        <row r="700">
          <cell r="B700">
            <v>696</v>
          </cell>
          <cell r="C700">
            <v>1496.1100000000138</v>
          </cell>
          <cell r="D700">
            <v>2094.5500000000002</v>
          </cell>
          <cell r="F700">
            <v>905.80999999998846</v>
          </cell>
          <cell r="G700">
            <v>1268.1300000000001</v>
          </cell>
        </row>
        <row r="701">
          <cell r="B701">
            <v>697</v>
          </cell>
          <cell r="C701">
            <v>1498.2600000000139</v>
          </cell>
          <cell r="D701">
            <v>2097.56</v>
          </cell>
          <cell r="F701">
            <v>907.10999999998842</v>
          </cell>
          <cell r="G701">
            <v>1269.95</v>
          </cell>
        </row>
        <row r="702">
          <cell r="B702">
            <v>698</v>
          </cell>
          <cell r="C702">
            <v>1500.410000000014</v>
          </cell>
          <cell r="D702">
            <v>2100.5700000000002</v>
          </cell>
          <cell r="F702">
            <v>908.40999999998837</v>
          </cell>
          <cell r="G702">
            <v>1271.77</v>
          </cell>
        </row>
        <row r="703">
          <cell r="B703">
            <v>699</v>
          </cell>
          <cell r="C703">
            <v>1502.560000000014</v>
          </cell>
          <cell r="D703">
            <v>2103.58</v>
          </cell>
          <cell r="F703">
            <v>909.70999999998833</v>
          </cell>
          <cell r="G703">
            <v>1273.5899999999999</v>
          </cell>
        </row>
        <row r="704">
          <cell r="B704">
            <v>700</v>
          </cell>
          <cell r="C704">
            <v>1504.7100000000141</v>
          </cell>
          <cell r="D704">
            <v>2106.59</v>
          </cell>
          <cell r="F704">
            <v>911.00999999998828</v>
          </cell>
          <cell r="G704">
            <v>1275.4100000000001</v>
          </cell>
        </row>
        <row r="705">
          <cell r="B705">
            <v>701</v>
          </cell>
          <cell r="C705">
            <v>1506.8600000000142</v>
          </cell>
          <cell r="D705">
            <v>2109.6</v>
          </cell>
          <cell r="F705">
            <v>912.30999999998824</v>
          </cell>
          <cell r="G705">
            <v>1277.23</v>
          </cell>
        </row>
        <row r="706">
          <cell r="B706">
            <v>702</v>
          </cell>
          <cell r="C706">
            <v>1509.0100000000143</v>
          </cell>
          <cell r="D706">
            <v>2112.61</v>
          </cell>
          <cell r="F706">
            <v>913.60999999998819</v>
          </cell>
          <cell r="G706">
            <v>1279.05</v>
          </cell>
        </row>
        <row r="707">
          <cell r="B707">
            <v>703</v>
          </cell>
          <cell r="C707">
            <v>1511.1600000000144</v>
          </cell>
          <cell r="D707">
            <v>2115.62</v>
          </cell>
          <cell r="F707">
            <v>914.90999999998814</v>
          </cell>
          <cell r="G707">
            <v>1280.8699999999999</v>
          </cell>
        </row>
        <row r="708">
          <cell r="B708">
            <v>704</v>
          </cell>
          <cell r="C708">
            <v>1513.3100000000145</v>
          </cell>
          <cell r="D708">
            <v>2118.63</v>
          </cell>
          <cell r="F708">
            <v>916.2099999999881</v>
          </cell>
          <cell r="G708">
            <v>1282.69</v>
          </cell>
        </row>
        <row r="709">
          <cell r="B709">
            <v>705</v>
          </cell>
          <cell r="C709">
            <v>1515.4600000000146</v>
          </cell>
          <cell r="D709">
            <v>2121.64</v>
          </cell>
          <cell r="F709">
            <v>917.50999999998805</v>
          </cell>
          <cell r="G709">
            <v>1284.51</v>
          </cell>
        </row>
        <row r="710">
          <cell r="B710">
            <v>706</v>
          </cell>
          <cell r="C710">
            <v>1517.6100000000147</v>
          </cell>
          <cell r="D710">
            <v>2124.65</v>
          </cell>
          <cell r="F710">
            <v>918.80999999998801</v>
          </cell>
          <cell r="G710">
            <v>1286.33</v>
          </cell>
        </row>
        <row r="711">
          <cell r="B711">
            <v>707</v>
          </cell>
          <cell r="C711">
            <v>1519.7600000000148</v>
          </cell>
          <cell r="D711">
            <v>2127.66</v>
          </cell>
          <cell r="F711">
            <v>920.10999999998796</v>
          </cell>
          <cell r="G711">
            <v>1288.1500000000001</v>
          </cell>
        </row>
        <row r="712">
          <cell r="B712">
            <v>708</v>
          </cell>
          <cell r="C712">
            <v>1521.9100000000149</v>
          </cell>
          <cell r="D712">
            <v>2130.67</v>
          </cell>
          <cell r="F712">
            <v>921.40999999998792</v>
          </cell>
          <cell r="G712">
            <v>1289.97</v>
          </cell>
        </row>
        <row r="713">
          <cell r="B713">
            <v>709</v>
          </cell>
          <cell r="C713">
            <v>1524.060000000015</v>
          </cell>
          <cell r="D713">
            <v>2133.6799999999998</v>
          </cell>
          <cell r="F713">
            <v>922.70999999998787</v>
          </cell>
          <cell r="G713">
            <v>1291.79</v>
          </cell>
        </row>
        <row r="714">
          <cell r="B714">
            <v>710</v>
          </cell>
          <cell r="C714">
            <v>1526.210000000015</v>
          </cell>
          <cell r="D714">
            <v>2136.69</v>
          </cell>
          <cell r="F714">
            <v>924.00999999998783</v>
          </cell>
          <cell r="G714">
            <v>1293.6099999999999</v>
          </cell>
        </row>
        <row r="715">
          <cell r="B715">
            <v>711</v>
          </cell>
          <cell r="C715">
            <v>1528.3600000000151</v>
          </cell>
          <cell r="D715">
            <v>2139.6999999999998</v>
          </cell>
          <cell r="F715">
            <v>925.30999999998778</v>
          </cell>
          <cell r="G715">
            <v>1295.43</v>
          </cell>
        </row>
        <row r="716">
          <cell r="B716">
            <v>712</v>
          </cell>
          <cell r="C716">
            <v>1530.5100000000152</v>
          </cell>
          <cell r="D716">
            <v>2142.71</v>
          </cell>
          <cell r="F716">
            <v>926.60999999998774</v>
          </cell>
          <cell r="G716">
            <v>1297.25</v>
          </cell>
        </row>
        <row r="717">
          <cell r="B717">
            <v>713</v>
          </cell>
          <cell r="C717">
            <v>1532.6600000000153</v>
          </cell>
          <cell r="D717">
            <v>2145.7199999999998</v>
          </cell>
          <cell r="F717">
            <v>927.90999999998769</v>
          </cell>
          <cell r="G717">
            <v>1299.07</v>
          </cell>
        </row>
        <row r="718">
          <cell r="B718">
            <v>714</v>
          </cell>
          <cell r="C718">
            <v>1534.8100000000154</v>
          </cell>
          <cell r="D718">
            <v>2148.73</v>
          </cell>
          <cell r="F718">
            <v>929.20999999998764</v>
          </cell>
          <cell r="G718">
            <v>1300.8900000000001</v>
          </cell>
        </row>
        <row r="719">
          <cell r="B719">
            <v>715</v>
          </cell>
          <cell r="C719">
            <v>1536.9600000000155</v>
          </cell>
          <cell r="D719">
            <v>2151.7399999999998</v>
          </cell>
          <cell r="F719">
            <v>930.5099999999876</v>
          </cell>
          <cell r="G719">
            <v>1302.71</v>
          </cell>
        </row>
        <row r="720">
          <cell r="B720">
            <v>716</v>
          </cell>
          <cell r="C720">
            <v>1539.1100000000156</v>
          </cell>
          <cell r="D720">
            <v>2154.75</v>
          </cell>
          <cell r="F720">
            <v>931.80999999998755</v>
          </cell>
          <cell r="G720">
            <v>1304.53</v>
          </cell>
        </row>
        <row r="721">
          <cell r="B721">
            <v>717</v>
          </cell>
          <cell r="C721">
            <v>1541.2600000000157</v>
          </cell>
          <cell r="D721">
            <v>2157.7600000000002</v>
          </cell>
          <cell r="F721">
            <v>933.10999999998751</v>
          </cell>
          <cell r="G721">
            <v>1306.3499999999999</v>
          </cell>
        </row>
        <row r="722">
          <cell r="B722">
            <v>718</v>
          </cell>
          <cell r="C722">
            <v>1543.4100000000158</v>
          </cell>
          <cell r="D722">
            <v>2160.77</v>
          </cell>
          <cell r="F722">
            <v>934.40999999998746</v>
          </cell>
          <cell r="G722">
            <v>1308.17</v>
          </cell>
        </row>
        <row r="723">
          <cell r="B723">
            <v>719</v>
          </cell>
          <cell r="C723">
            <v>1545.5600000000159</v>
          </cell>
          <cell r="D723">
            <v>2163.7800000000002</v>
          </cell>
          <cell r="F723">
            <v>935.70999999998742</v>
          </cell>
          <cell r="G723">
            <v>1309.99</v>
          </cell>
        </row>
        <row r="724">
          <cell r="B724">
            <v>720</v>
          </cell>
          <cell r="C724">
            <v>1547.710000000016</v>
          </cell>
          <cell r="D724">
            <v>2166.79</v>
          </cell>
          <cell r="F724">
            <v>937.00999999998737</v>
          </cell>
          <cell r="G724">
            <v>1311.81</v>
          </cell>
        </row>
        <row r="725">
          <cell r="B725">
            <v>721</v>
          </cell>
          <cell r="C725">
            <v>1549.860000000016</v>
          </cell>
          <cell r="D725">
            <v>2169.8000000000002</v>
          </cell>
          <cell r="F725">
            <v>938.30999999998733</v>
          </cell>
          <cell r="G725">
            <v>1313.63</v>
          </cell>
        </row>
        <row r="726">
          <cell r="B726">
            <v>722</v>
          </cell>
          <cell r="C726">
            <v>1552.0100000000161</v>
          </cell>
          <cell r="D726">
            <v>2172.81</v>
          </cell>
          <cell r="F726">
            <v>939.60999999998728</v>
          </cell>
          <cell r="G726">
            <v>1315.45</v>
          </cell>
        </row>
        <row r="727">
          <cell r="B727">
            <v>723</v>
          </cell>
          <cell r="C727">
            <v>1554.1600000000162</v>
          </cell>
          <cell r="D727">
            <v>2175.8200000000002</v>
          </cell>
          <cell r="F727">
            <v>940.90999999998724</v>
          </cell>
          <cell r="G727">
            <v>1317.27</v>
          </cell>
        </row>
        <row r="728">
          <cell r="B728">
            <v>724</v>
          </cell>
          <cell r="C728">
            <v>1556.3100000000163</v>
          </cell>
          <cell r="D728">
            <v>2178.83</v>
          </cell>
          <cell r="F728">
            <v>942.20999999998719</v>
          </cell>
          <cell r="G728">
            <v>1319.09</v>
          </cell>
        </row>
        <row r="729">
          <cell r="B729">
            <v>725</v>
          </cell>
          <cell r="C729">
            <v>1558.4600000000164</v>
          </cell>
          <cell r="D729">
            <v>2181.84</v>
          </cell>
          <cell r="F729">
            <v>943.50999999998714</v>
          </cell>
          <cell r="G729">
            <v>1320.91</v>
          </cell>
        </row>
        <row r="730">
          <cell r="B730">
            <v>726</v>
          </cell>
          <cell r="C730">
            <v>1560.6100000000165</v>
          </cell>
          <cell r="D730">
            <v>2184.85</v>
          </cell>
          <cell r="F730">
            <v>944.8099999999871</v>
          </cell>
          <cell r="G730">
            <v>1322.73</v>
          </cell>
        </row>
        <row r="731">
          <cell r="B731">
            <v>727</v>
          </cell>
          <cell r="C731">
            <v>1562.7600000000166</v>
          </cell>
          <cell r="D731">
            <v>2187.86</v>
          </cell>
          <cell r="F731">
            <v>946.10999999998705</v>
          </cell>
          <cell r="G731">
            <v>1324.55</v>
          </cell>
        </row>
        <row r="732">
          <cell r="B732">
            <v>728</v>
          </cell>
          <cell r="C732">
            <v>1564.9100000000167</v>
          </cell>
          <cell r="D732">
            <v>2190.87</v>
          </cell>
          <cell r="F732">
            <v>947.40999999998701</v>
          </cell>
          <cell r="G732">
            <v>1326.37</v>
          </cell>
        </row>
        <row r="733">
          <cell r="B733">
            <v>729</v>
          </cell>
          <cell r="C733">
            <v>1567.0600000000168</v>
          </cell>
          <cell r="D733">
            <v>2193.88</v>
          </cell>
          <cell r="F733">
            <v>948.70999999998696</v>
          </cell>
          <cell r="G733">
            <v>1328.19</v>
          </cell>
        </row>
        <row r="734">
          <cell r="B734">
            <v>730</v>
          </cell>
          <cell r="C734">
            <v>1569.2100000000169</v>
          </cell>
          <cell r="D734">
            <v>2196.89</v>
          </cell>
          <cell r="F734">
            <v>950.00999999998692</v>
          </cell>
          <cell r="G734">
            <v>1330.01</v>
          </cell>
        </row>
        <row r="735">
          <cell r="B735">
            <v>731</v>
          </cell>
          <cell r="C735">
            <v>1571.360000000017</v>
          </cell>
          <cell r="D735">
            <v>2199.9</v>
          </cell>
          <cell r="F735">
            <v>951.30999999998687</v>
          </cell>
          <cell r="G735">
            <v>1331.83</v>
          </cell>
        </row>
        <row r="736">
          <cell r="B736">
            <v>732</v>
          </cell>
          <cell r="C736">
            <v>1573.510000000017</v>
          </cell>
          <cell r="D736">
            <v>2202.91</v>
          </cell>
          <cell r="F736">
            <v>952.60999999998683</v>
          </cell>
          <cell r="G736">
            <v>1333.65</v>
          </cell>
        </row>
        <row r="737">
          <cell r="B737">
            <v>733</v>
          </cell>
          <cell r="C737">
            <v>1575.6600000000171</v>
          </cell>
          <cell r="D737">
            <v>2205.92</v>
          </cell>
          <cell r="F737">
            <v>953.90999999998678</v>
          </cell>
          <cell r="G737">
            <v>1335.47</v>
          </cell>
        </row>
        <row r="738">
          <cell r="B738">
            <v>734</v>
          </cell>
          <cell r="C738">
            <v>1577.8100000000172</v>
          </cell>
          <cell r="D738">
            <v>2208.9299999999998</v>
          </cell>
          <cell r="F738">
            <v>955.20999999998674</v>
          </cell>
          <cell r="G738">
            <v>1337.29</v>
          </cell>
        </row>
        <row r="739">
          <cell r="B739">
            <v>735</v>
          </cell>
          <cell r="C739">
            <v>1579.9600000000173</v>
          </cell>
          <cell r="D739">
            <v>2211.94</v>
          </cell>
          <cell r="F739">
            <v>956.50999999998669</v>
          </cell>
          <cell r="G739">
            <v>1339.11</v>
          </cell>
        </row>
        <row r="740">
          <cell r="B740">
            <v>736</v>
          </cell>
          <cell r="C740">
            <v>1582.1100000000174</v>
          </cell>
          <cell r="D740">
            <v>2214.9499999999998</v>
          </cell>
          <cell r="F740">
            <v>957.80999999998664</v>
          </cell>
          <cell r="G740">
            <v>1340.93</v>
          </cell>
        </row>
        <row r="741">
          <cell r="B741">
            <v>737</v>
          </cell>
          <cell r="C741">
            <v>1584.2600000000175</v>
          </cell>
          <cell r="D741">
            <v>2217.96</v>
          </cell>
          <cell r="F741">
            <v>959.1099999999866</v>
          </cell>
          <cell r="G741">
            <v>1342.75</v>
          </cell>
        </row>
        <row r="742">
          <cell r="B742">
            <v>738</v>
          </cell>
          <cell r="C742">
            <v>1586.4100000000176</v>
          </cell>
          <cell r="D742">
            <v>2220.9699999999998</v>
          </cell>
          <cell r="F742">
            <v>960.40999999998655</v>
          </cell>
          <cell r="G742">
            <v>1344.57</v>
          </cell>
        </row>
        <row r="743">
          <cell r="B743">
            <v>739</v>
          </cell>
          <cell r="C743">
            <v>1588.5600000000177</v>
          </cell>
          <cell r="D743">
            <v>2223.98</v>
          </cell>
          <cell r="F743">
            <v>961.70999999998651</v>
          </cell>
          <cell r="G743">
            <v>1346.39</v>
          </cell>
        </row>
        <row r="744">
          <cell r="B744">
            <v>740</v>
          </cell>
          <cell r="C744">
            <v>1590.7100000000178</v>
          </cell>
          <cell r="D744">
            <v>2226.9899999999998</v>
          </cell>
          <cell r="F744">
            <v>963.00999999998646</v>
          </cell>
          <cell r="G744">
            <v>1348.21</v>
          </cell>
        </row>
        <row r="745">
          <cell r="B745">
            <v>741</v>
          </cell>
          <cell r="C745">
            <v>1592.8600000000179</v>
          </cell>
          <cell r="D745">
            <v>2230</v>
          </cell>
          <cell r="F745">
            <v>964.30999999998642</v>
          </cell>
          <cell r="G745">
            <v>1350.03</v>
          </cell>
        </row>
        <row r="746">
          <cell r="B746">
            <v>742</v>
          </cell>
          <cell r="C746">
            <v>1595.010000000018</v>
          </cell>
          <cell r="D746">
            <v>2233.0100000000002</v>
          </cell>
          <cell r="F746">
            <v>965.60999999998637</v>
          </cell>
          <cell r="G746">
            <v>1351.85</v>
          </cell>
        </row>
        <row r="747">
          <cell r="B747">
            <v>743</v>
          </cell>
          <cell r="C747">
            <v>1597.160000000018</v>
          </cell>
          <cell r="D747">
            <v>2236.02</v>
          </cell>
          <cell r="F747">
            <v>966.90999999998633</v>
          </cell>
          <cell r="G747">
            <v>1353.67</v>
          </cell>
        </row>
        <row r="748">
          <cell r="B748">
            <v>744</v>
          </cell>
          <cell r="C748">
            <v>1599.3100000000181</v>
          </cell>
          <cell r="D748">
            <v>2239.0300000000002</v>
          </cell>
          <cell r="F748">
            <v>968.20999999998628</v>
          </cell>
          <cell r="G748">
            <v>1355.49</v>
          </cell>
        </row>
        <row r="749">
          <cell r="B749">
            <v>745</v>
          </cell>
          <cell r="C749">
            <v>1601.4600000000182</v>
          </cell>
          <cell r="D749">
            <v>2242.04</v>
          </cell>
          <cell r="F749">
            <v>969.50999999998623</v>
          </cell>
          <cell r="G749">
            <v>1357.31</v>
          </cell>
        </row>
        <row r="750">
          <cell r="B750">
            <v>746</v>
          </cell>
          <cell r="C750">
            <v>1603.6100000000183</v>
          </cell>
          <cell r="D750">
            <v>2245.0500000000002</v>
          </cell>
          <cell r="F750">
            <v>970.80999999998619</v>
          </cell>
          <cell r="G750">
            <v>1359.13</v>
          </cell>
        </row>
        <row r="751">
          <cell r="B751">
            <v>747</v>
          </cell>
          <cell r="C751">
            <v>1605.7600000000184</v>
          </cell>
          <cell r="D751">
            <v>2248.06</v>
          </cell>
          <cell r="F751">
            <v>972.10999999998614</v>
          </cell>
          <cell r="G751">
            <v>1360.95</v>
          </cell>
        </row>
        <row r="752">
          <cell r="B752">
            <v>748</v>
          </cell>
          <cell r="C752">
            <v>1607.9100000000185</v>
          </cell>
          <cell r="D752">
            <v>2251.0700000000002</v>
          </cell>
          <cell r="F752">
            <v>973.4099999999861</v>
          </cell>
          <cell r="G752">
            <v>1362.77</v>
          </cell>
        </row>
        <row r="753">
          <cell r="B753">
            <v>749</v>
          </cell>
          <cell r="C753">
            <v>1610.0600000000186</v>
          </cell>
          <cell r="D753">
            <v>2254.08</v>
          </cell>
          <cell r="F753">
            <v>974.70999999998605</v>
          </cell>
          <cell r="G753">
            <v>1364.59</v>
          </cell>
        </row>
        <row r="754">
          <cell r="B754">
            <v>750</v>
          </cell>
          <cell r="C754">
            <v>1612.2100000000187</v>
          </cell>
          <cell r="D754">
            <v>2257.09</v>
          </cell>
          <cell r="F754">
            <v>976.00999999998601</v>
          </cell>
          <cell r="G754">
            <v>1366.41</v>
          </cell>
        </row>
        <row r="755">
          <cell r="B755">
            <v>751</v>
          </cell>
          <cell r="C755">
            <v>1614.3600000000188</v>
          </cell>
          <cell r="D755">
            <v>2260.1</v>
          </cell>
          <cell r="F755">
            <v>977.30999999998596</v>
          </cell>
          <cell r="G755">
            <v>1368.23</v>
          </cell>
        </row>
        <row r="756">
          <cell r="B756">
            <v>752</v>
          </cell>
          <cell r="C756">
            <v>1616.5100000000189</v>
          </cell>
          <cell r="D756">
            <v>2263.11</v>
          </cell>
          <cell r="F756">
            <v>978.60999999998592</v>
          </cell>
          <cell r="G756">
            <v>1370.05</v>
          </cell>
        </row>
        <row r="757">
          <cell r="B757">
            <v>753</v>
          </cell>
          <cell r="C757">
            <v>1618.660000000019</v>
          </cell>
          <cell r="D757">
            <v>2266.12</v>
          </cell>
          <cell r="F757">
            <v>979.90999999998587</v>
          </cell>
          <cell r="G757">
            <v>1371.87</v>
          </cell>
        </row>
        <row r="758">
          <cell r="B758">
            <v>754</v>
          </cell>
          <cell r="C758">
            <v>1620.810000000019</v>
          </cell>
          <cell r="D758">
            <v>2269.13</v>
          </cell>
          <cell r="F758">
            <v>981.20999999998583</v>
          </cell>
          <cell r="G758">
            <v>1373.69</v>
          </cell>
        </row>
        <row r="759">
          <cell r="B759">
            <v>755</v>
          </cell>
          <cell r="C759">
            <v>1622.9600000000191</v>
          </cell>
          <cell r="D759">
            <v>2272.14</v>
          </cell>
          <cell r="F759">
            <v>982.50999999998578</v>
          </cell>
          <cell r="G759">
            <v>1375.51</v>
          </cell>
        </row>
        <row r="760">
          <cell r="B760">
            <v>756</v>
          </cell>
          <cell r="C760">
            <v>1625.1100000000192</v>
          </cell>
          <cell r="D760">
            <v>2275.15</v>
          </cell>
          <cell r="F760">
            <v>983.80999999998573</v>
          </cell>
          <cell r="G760">
            <v>1377.33</v>
          </cell>
        </row>
        <row r="761">
          <cell r="B761">
            <v>757</v>
          </cell>
          <cell r="C761">
            <v>1627.2600000000193</v>
          </cell>
          <cell r="D761">
            <v>2278.16</v>
          </cell>
          <cell r="F761">
            <v>985.10999999998569</v>
          </cell>
          <cell r="G761">
            <v>1379.15</v>
          </cell>
        </row>
        <row r="762">
          <cell r="B762">
            <v>758</v>
          </cell>
          <cell r="C762">
            <v>1629.4100000000194</v>
          </cell>
          <cell r="D762">
            <v>2281.17</v>
          </cell>
          <cell r="F762">
            <v>986.40999999998564</v>
          </cell>
          <cell r="G762">
            <v>1380.97</v>
          </cell>
        </row>
        <row r="763">
          <cell r="B763">
            <v>759</v>
          </cell>
          <cell r="C763">
            <v>1631.5600000000195</v>
          </cell>
          <cell r="D763">
            <v>2284.1799999999998</v>
          </cell>
          <cell r="F763">
            <v>987.7099999999856</v>
          </cell>
          <cell r="G763">
            <v>1382.79</v>
          </cell>
        </row>
        <row r="764">
          <cell r="B764">
            <v>760</v>
          </cell>
          <cell r="C764">
            <v>1633.7100000000196</v>
          </cell>
          <cell r="D764">
            <v>2287.19</v>
          </cell>
          <cell r="F764">
            <v>989.00999999998555</v>
          </cell>
          <cell r="G764">
            <v>1384.61</v>
          </cell>
        </row>
        <row r="765">
          <cell r="B765">
            <v>761</v>
          </cell>
          <cell r="C765">
            <v>1635.8600000000197</v>
          </cell>
          <cell r="D765">
            <v>2290.1999999999998</v>
          </cell>
          <cell r="F765">
            <v>990.30999999998551</v>
          </cell>
          <cell r="G765">
            <v>1386.43</v>
          </cell>
        </row>
        <row r="766">
          <cell r="B766">
            <v>762</v>
          </cell>
          <cell r="C766">
            <v>1638.0100000000198</v>
          </cell>
          <cell r="D766">
            <v>2293.21</v>
          </cell>
          <cell r="F766">
            <v>991.60999999998546</v>
          </cell>
          <cell r="G766">
            <v>1388.25</v>
          </cell>
        </row>
        <row r="767">
          <cell r="B767">
            <v>763</v>
          </cell>
          <cell r="C767">
            <v>1640.1600000000199</v>
          </cell>
          <cell r="D767">
            <v>2296.2199999999998</v>
          </cell>
          <cell r="F767">
            <v>992.90999999998542</v>
          </cell>
          <cell r="G767">
            <v>1390.07</v>
          </cell>
        </row>
        <row r="768">
          <cell r="B768">
            <v>764</v>
          </cell>
          <cell r="C768">
            <v>1642.31000000002</v>
          </cell>
          <cell r="D768">
            <v>2299.23</v>
          </cell>
          <cell r="F768">
            <v>994.20999999998537</v>
          </cell>
          <cell r="G768">
            <v>1391.89</v>
          </cell>
        </row>
        <row r="769">
          <cell r="B769">
            <v>765</v>
          </cell>
          <cell r="C769">
            <v>1644.46000000002</v>
          </cell>
          <cell r="D769">
            <v>2302.2399999999998</v>
          </cell>
          <cell r="F769">
            <v>995.50999999998533</v>
          </cell>
          <cell r="G769">
            <v>1393.71</v>
          </cell>
        </row>
        <row r="770">
          <cell r="B770">
            <v>766</v>
          </cell>
          <cell r="C770">
            <v>1646.6100000000201</v>
          </cell>
          <cell r="D770">
            <v>2305.25</v>
          </cell>
          <cell r="F770">
            <v>996.80999999998528</v>
          </cell>
          <cell r="G770">
            <v>1395.53</v>
          </cell>
        </row>
        <row r="771">
          <cell r="B771">
            <v>767</v>
          </cell>
          <cell r="C771">
            <v>1648.7600000000202</v>
          </cell>
          <cell r="D771">
            <v>2308.2600000000002</v>
          </cell>
          <cell r="F771">
            <v>998.10999999998523</v>
          </cell>
          <cell r="G771">
            <v>1397.35</v>
          </cell>
        </row>
        <row r="772">
          <cell r="B772">
            <v>768</v>
          </cell>
          <cell r="C772">
            <v>1650.9100000000203</v>
          </cell>
          <cell r="D772">
            <v>2311.27</v>
          </cell>
          <cell r="F772">
            <v>999.40999999998519</v>
          </cell>
          <cell r="G772">
            <v>1399.17</v>
          </cell>
        </row>
        <row r="773">
          <cell r="B773">
            <v>769</v>
          </cell>
          <cell r="C773">
            <v>1653.0600000000204</v>
          </cell>
          <cell r="D773">
            <v>2314.2800000000002</v>
          </cell>
          <cell r="F773">
            <v>1000.7099999999851</v>
          </cell>
          <cell r="G773">
            <v>1400.99</v>
          </cell>
        </row>
        <row r="774">
          <cell r="B774">
            <v>770</v>
          </cell>
          <cell r="C774">
            <v>1655.2100000000205</v>
          </cell>
          <cell r="D774">
            <v>2317.29</v>
          </cell>
          <cell r="F774">
            <v>1002.0099999999851</v>
          </cell>
          <cell r="G774">
            <v>1402.81</v>
          </cell>
        </row>
        <row r="775">
          <cell r="B775">
            <v>771</v>
          </cell>
          <cell r="C775">
            <v>1657.3600000000206</v>
          </cell>
          <cell r="D775">
            <v>2320.3000000000002</v>
          </cell>
          <cell r="F775">
            <v>1003.3099999999851</v>
          </cell>
          <cell r="G775">
            <v>1404.63</v>
          </cell>
        </row>
        <row r="776">
          <cell r="B776">
            <v>772</v>
          </cell>
          <cell r="C776">
            <v>1659.5100000000207</v>
          </cell>
          <cell r="D776">
            <v>2323.31</v>
          </cell>
          <cell r="F776">
            <v>1004.609999999985</v>
          </cell>
          <cell r="G776">
            <v>1406.45</v>
          </cell>
        </row>
        <row r="777">
          <cell r="B777">
            <v>773</v>
          </cell>
          <cell r="C777">
            <v>1661.6600000000208</v>
          </cell>
          <cell r="D777">
            <v>2326.3200000000002</v>
          </cell>
          <cell r="F777">
            <v>1005.909999999985</v>
          </cell>
          <cell r="G777">
            <v>1408.27</v>
          </cell>
        </row>
        <row r="778">
          <cell r="B778">
            <v>774</v>
          </cell>
          <cell r="C778">
            <v>1663.8100000000209</v>
          </cell>
          <cell r="D778">
            <v>2329.33</v>
          </cell>
          <cell r="F778">
            <v>1007.2099999999849</v>
          </cell>
          <cell r="G778">
            <v>1410.09</v>
          </cell>
        </row>
        <row r="779">
          <cell r="B779">
            <v>775</v>
          </cell>
          <cell r="C779">
            <v>1665.960000000021</v>
          </cell>
          <cell r="D779">
            <v>2332.34</v>
          </cell>
          <cell r="F779">
            <v>1008.5099999999849</v>
          </cell>
          <cell r="G779">
            <v>1411.91</v>
          </cell>
        </row>
        <row r="780">
          <cell r="B780">
            <v>776</v>
          </cell>
          <cell r="C780">
            <v>1668.110000000021</v>
          </cell>
          <cell r="D780">
            <v>2335.35</v>
          </cell>
          <cell r="F780">
            <v>1009.8099999999848</v>
          </cell>
          <cell r="G780">
            <v>1413.73</v>
          </cell>
        </row>
        <row r="781">
          <cell r="B781">
            <v>777</v>
          </cell>
          <cell r="C781">
            <v>1670.2600000000211</v>
          </cell>
          <cell r="D781">
            <v>2338.36</v>
          </cell>
          <cell r="F781">
            <v>1011.1099999999848</v>
          </cell>
          <cell r="G781">
            <v>1415.55</v>
          </cell>
        </row>
        <row r="782">
          <cell r="B782">
            <v>778</v>
          </cell>
          <cell r="C782">
            <v>1672.4100000000212</v>
          </cell>
          <cell r="D782">
            <v>2341.37</v>
          </cell>
          <cell r="F782">
            <v>1012.4099999999847</v>
          </cell>
          <cell r="G782">
            <v>1417.37</v>
          </cell>
        </row>
        <row r="783">
          <cell r="B783">
            <v>779</v>
          </cell>
          <cell r="C783">
            <v>1674.5600000000213</v>
          </cell>
          <cell r="D783">
            <v>2344.38</v>
          </cell>
          <cell r="F783">
            <v>1013.7099999999847</v>
          </cell>
          <cell r="G783">
            <v>1419.19</v>
          </cell>
        </row>
        <row r="784">
          <cell r="B784">
            <v>780</v>
          </cell>
          <cell r="C784">
            <v>1676.7100000000214</v>
          </cell>
          <cell r="D784">
            <v>2347.39</v>
          </cell>
          <cell r="F784">
            <v>1015.0099999999846</v>
          </cell>
          <cell r="G784">
            <v>1421.01</v>
          </cell>
        </row>
        <row r="785">
          <cell r="B785">
            <v>781</v>
          </cell>
          <cell r="C785">
            <v>1678.8600000000215</v>
          </cell>
          <cell r="D785">
            <v>2350.4</v>
          </cell>
          <cell r="F785">
            <v>1016.3099999999846</v>
          </cell>
          <cell r="G785">
            <v>1422.83</v>
          </cell>
        </row>
        <row r="786">
          <cell r="B786">
            <v>782</v>
          </cell>
          <cell r="C786">
            <v>1681.0100000000216</v>
          </cell>
          <cell r="D786">
            <v>2353.41</v>
          </cell>
          <cell r="F786">
            <v>1017.6099999999846</v>
          </cell>
          <cell r="G786">
            <v>1424.65</v>
          </cell>
        </row>
        <row r="787">
          <cell r="B787">
            <v>783</v>
          </cell>
          <cell r="C787">
            <v>1683.1600000000217</v>
          </cell>
          <cell r="D787">
            <v>2356.42</v>
          </cell>
          <cell r="F787">
            <v>1018.9099999999845</v>
          </cell>
          <cell r="G787">
            <v>1426.47</v>
          </cell>
        </row>
        <row r="788">
          <cell r="B788">
            <v>784</v>
          </cell>
          <cell r="C788">
            <v>1685.3100000000218</v>
          </cell>
          <cell r="D788">
            <v>2359.4299999999998</v>
          </cell>
          <cell r="F788">
            <v>1020.2099999999845</v>
          </cell>
          <cell r="G788">
            <v>1428.29</v>
          </cell>
        </row>
        <row r="789">
          <cell r="B789">
            <v>785</v>
          </cell>
          <cell r="C789">
            <v>1687.4600000000219</v>
          </cell>
          <cell r="D789">
            <v>2362.44</v>
          </cell>
          <cell r="F789">
            <v>1021.5099999999844</v>
          </cell>
          <cell r="G789">
            <v>1430.11</v>
          </cell>
        </row>
        <row r="790">
          <cell r="B790">
            <v>786</v>
          </cell>
          <cell r="C790">
            <v>1689.610000000022</v>
          </cell>
          <cell r="D790">
            <v>2365.4499999999998</v>
          </cell>
          <cell r="F790">
            <v>1022.8099999999844</v>
          </cell>
          <cell r="G790">
            <v>1431.93</v>
          </cell>
        </row>
        <row r="791">
          <cell r="B791">
            <v>787</v>
          </cell>
          <cell r="C791">
            <v>1691.760000000022</v>
          </cell>
          <cell r="D791">
            <v>2368.46</v>
          </cell>
          <cell r="F791">
            <v>1024.1099999999844</v>
          </cell>
          <cell r="G791">
            <v>1433.75</v>
          </cell>
        </row>
        <row r="792">
          <cell r="B792">
            <v>788</v>
          </cell>
          <cell r="C792">
            <v>1693.9100000000221</v>
          </cell>
          <cell r="D792">
            <v>2371.4699999999998</v>
          </cell>
          <cell r="F792">
            <v>1025.4099999999844</v>
          </cell>
          <cell r="G792">
            <v>1435.57</v>
          </cell>
        </row>
        <row r="793">
          <cell r="B793">
            <v>789</v>
          </cell>
          <cell r="C793">
            <v>1696.0600000000222</v>
          </cell>
          <cell r="D793">
            <v>2374.48</v>
          </cell>
          <cell r="F793">
            <v>1026.7099999999843</v>
          </cell>
          <cell r="G793">
            <v>1437.39</v>
          </cell>
        </row>
        <row r="794">
          <cell r="B794">
            <v>790</v>
          </cell>
          <cell r="C794">
            <v>1698.2100000000223</v>
          </cell>
          <cell r="D794">
            <v>2377.4899999999998</v>
          </cell>
          <cell r="F794">
            <v>1028.0099999999843</v>
          </cell>
          <cell r="G794">
            <v>1439.21</v>
          </cell>
        </row>
        <row r="795">
          <cell r="B795">
            <v>791</v>
          </cell>
          <cell r="C795">
            <v>1700.3600000000224</v>
          </cell>
          <cell r="D795">
            <v>2380.5</v>
          </cell>
          <cell r="F795">
            <v>1029.3099999999843</v>
          </cell>
          <cell r="G795">
            <v>1441.03</v>
          </cell>
        </row>
        <row r="796">
          <cell r="B796">
            <v>792</v>
          </cell>
          <cell r="C796">
            <v>1702.5100000000225</v>
          </cell>
          <cell r="D796">
            <v>2383.5100000000002</v>
          </cell>
          <cell r="F796">
            <v>1030.6099999999842</v>
          </cell>
          <cell r="G796">
            <v>1442.85</v>
          </cell>
        </row>
        <row r="797">
          <cell r="B797">
            <v>793</v>
          </cell>
          <cell r="C797">
            <v>1704.6600000000226</v>
          </cell>
          <cell r="D797">
            <v>2386.52</v>
          </cell>
          <cell r="F797">
            <v>1031.9099999999842</v>
          </cell>
          <cell r="G797">
            <v>1444.67</v>
          </cell>
        </row>
        <row r="798">
          <cell r="B798">
            <v>794</v>
          </cell>
          <cell r="C798">
            <v>1706.8100000000227</v>
          </cell>
          <cell r="D798">
            <v>2389.5300000000002</v>
          </cell>
          <cell r="F798">
            <v>1033.2099999999841</v>
          </cell>
          <cell r="G798">
            <v>1446.49</v>
          </cell>
        </row>
        <row r="799">
          <cell r="B799">
            <v>795</v>
          </cell>
          <cell r="C799">
            <v>1708.9600000000228</v>
          </cell>
          <cell r="D799">
            <v>2392.54</v>
          </cell>
          <cell r="F799">
            <v>1034.5099999999841</v>
          </cell>
          <cell r="G799">
            <v>1448.31</v>
          </cell>
        </row>
        <row r="800">
          <cell r="B800">
            <v>796</v>
          </cell>
          <cell r="C800">
            <v>1711.1100000000229</v>
          </cell>
          <cell r="D800">
            <v>2395.5500000000002</v>
          </cell>
          <cell r="F800">
            <v>1035.809999999984</v>
          </cell>
          <cell r="G800">
            <v>1450.13</v>
          </cell>
        </row>
        <row r="801">
          <cell r="B801">
            <v>797</v>
          </cell>
          <cell r="C801">
            <v>1713.260000000023</v>
          </cell>
          <cell r="D801">
            <v>2398.56</v>
          </cell>
          <cell r="F801">
            <v>1037.109999999984</v>
          </cell>
          <cell r="G801">
            <v>1451.95</v>
          </cell>
        </row>
        <row r="802">
          <cell r="B802">
            <v>798</v>
          </cell>
          <cell r="C802">
            <v>1715.410000000023</v>
          </cell>
          <cell r="D802">
            <v>2401.5700000000002</v>
          </cell>
          <cell r="F802">
            <v>1038.4099999999839</v>
          </cell>
          <cell r="G802">
            <v>1453.77</v>
          </cell>
        </row>
        <row r="803">
          <cell r="B803">
            <v>799</v>
          </cell>
          <cell r="C803">
            <v>1717.5600000000231</v>
          </cell>
          <cell r="D803">
            <v>2404.58</v>
          </cell>
          <cell r="F803">
            <v>1039.7099999999839</v>
          </cell>
          <cell r="G803">
            <v>1455.59</v>
          </cell>
        </row>
        <row r="804">
          <cell r="B804">
            <v>800</v>
          </cell>
          <cell r="C804">
            <v>1719.7100000000232</v>
          </cell>
          <cell r="D804">
            <v>2407.59</v>
          </cell>
          <cell r="F804">
            <v>1041.0099999999838</v>
          </cell>
          <cell r="G804">
            <v>1457.41</v>
          </cell>
        </row>
        <row r="805">
          <cell r="B805">
            <v>801</v>
          </cell>
          <cell r="C805">
            <v>1721.8600000000233</v>
          </cell>
          <cell r="D805">
            <v>2410.6</v>
          </cell>
          <cell r="F805">
            <v>1042.3099999999838</v>
          </cell>
          <cell r="G805">
            <v>1459.23</v>
          </cell>
        </row>
        <row r="806">
          <cell r="B806">
            <v>802</v>
          </cell>
          <cell r="C806">
            <v>1724.0100000000234</v>
          </cell>
          <cell r="D806">
            <v>2413.61</v>
          </cell>
          <cell r="F806">
            <v>1043.6099999999838</v>
          </cell>
          <cell r="G806">
            <v>1461.05</v>
          </cell>
        </row>
        <row r="807">
          <cell r="B807">
            <v>803</v>
          </cell>
          <cell r="C807">
            <v>1726.1600000000235</v>
          </cell>
          <cell r="D807">
            <v>2416.62</v>
          </cell>
          <cell r="F807">
            <v>1044.9099999999837</v>
          </cell>
          <cell r="G807">
            <v>1462.87</v>
          </cell>
        </row>
        <row r="808">
          <cell r="B808">
            <v>804</v>
          </cell>
          <cell r="C808">
            <v>1728.3100000000236</v>
          </cell>
          <cell r="D808">
            <v>2419.63</v>
          </cell>
          <cell r="F808">
            <v>1046.2099999999837</v>
          </cell>
          <cell r="G808">
            <v>1464.69</v>
          </cell>
        </row>
        <row r="809">
          <cell r="B809">
            <v>805</v>
          </cell>
          <cell r="C809">
            <v>1730.4600000000237</v>
          </cell>
          <cell r="D809">
            <v>2422.64</v>
          </cell>
          <cell r="F809">
            <v>1047.5099999999836</v>
          </cell>
          <cell r="G809">
            <v>1466.51</v>
          </cell>
        </row>
        <row r="810">
          <cell r="B810">
            <v>806</v>
          </cell>
          <cell r="C810">
            <v>1732.6100000000238</v>
          </cell>
          <cell r="D810">
            <v>2425.65</v>
          </cell>
          <cell r="F810">
            <v>1048.8099999999836</v>
          </cell>
          <cell r="G810">
            <v>1468.33</v>
          </cell>
        </row>
        <row r="811">
          <cell r="B811">
            <v>807</v>
          </cell>
          <cell r="C811">
            <v>1734.7600000000239</v>
          </cell>
          <cell r="D811">
            <v>2428.66</v>
          </cell>
          <cell r="F811">
            <v>1050.1099999999835</v>
          </cell>
          <cell r="G811">
            <v>1470.15</v>
          </cell>
        </row>
        <row r="812">
          <cell r="B812">
            <v>808</v>
          </cell>
          <cell r="C812">
            <v>1736.910000000024</v>
          </cell>
          <cell r="D812">
            <v>2431.67</v>
          </cell>
          <cell r="F812">
            <v>1051.4099999999835</v>
          </cell>
          <cell r="G812">
            <v>1471.97</v>
          </cell>
        </row>
        <row r="813">
          <cell r="B813">
            <v>809</v>
          </cell>
          <cell r="C813">
            <v>1739.060000000024</v>
          </cell>
          <cell r="D813">
            <v>2434.6799999999998</v>
          </cell>
          <cell r="F813">
            <v>1052.7099999999834</v>
          </cell>
          <cell r="G813">
            <v>1473.79</v>
          </cell>
        </row>
        <row r="814">
          <cell r="B814">
            <v>810</v>
          </cell>
          <cell r="C814">
            <v>1741.2100000000241</v>
          </cell>
          <cell r="D814">
            <v>2437.69</v>
          </cell>
          <cell r="F814">
            <v>1054.0099999999834</v>
          </cell>
          <cell r="G814">
            <v>1475.61</v>
          </cell>
        </row>
        <row r="815">
          <cell r="B815">
            <v>811</v>
          </cell>
          <cell r="C815">
            <v>1743.3600000000242</v>
          </cell>
          <cell r="D815">
            <v>2440.6999999999998</v>
          </cell>
          <cell r="F815">
            <v>1055.3099999999833</v>
          </cell>
          <cell r="G815">
            <v>1477.43</v>
          </cell>
        </row>
        <row r="816">
          <cell r="B816">
            <v>812</v>
          </cell>
          <cell r="C816">
            <v>1745.5100000000243</v>
          </cell>
          <cell r="D816">
            <v>2443.71</v>
          </cell>
          <cell r="F816">
            <v>1056.6099999999833</v>
          </cell>
          <cell r="G816">
            <v>1479.25</v>
          </cell>
        </row>
        <row r="817">
          <cell r="B817">
            <v>813</v>
          </cell>
          <cell r="C817">
            <v>1747.6600000000244</v>
          </cell>
          <cell r="D817">
            <v>2446.7199999999998</v>
          </cell>
          <cell r="F817">
            <v>1057.9099999999833</v>
          </cell>
          <cell r="G817">
            <v>1481.07</v>
          </cell>
        </row>
        <row r="818">
          <cell r="B818">
            <v>814</v>
          </cell>
          <cell r="C818">
            <v>1749.8100000000245</v>
          </cell>
          <cell r="D818">
            <v>2449.73</v>
          </cell>
          <cell r="F818">
            <v>1059.2099999999832</v>
          </cell>
          <cell r="G818">
            <v>1482.89</v>
          </cell>
        </row>
        <row r="819">
          <cell r="B819">
            <v>815</v>
          </cell>
          <cell r="C819">
            <v>1751.9600000000246</v>
          </cell>
          <cell r="D819">
            <v>2452.7399999999998</v>
          </cell>
          <cell r="F819">
            <v>1060.5099999999832</v>
          </cell>
          <cell r="G819">
            <v>1484.71</v>
          </cell>
        </row>
        <row r="820">
          <cell r="B820">
            <v>816</v>
          </cell>
          <cell r="C820">
            <v>1754.1100000000247</v>
          </cell>
          <cell r="D820">
            <v>2455.75</v>
          </cell>
          <cell r="F820">
            <v>1061.8099999999831</v>
          </cell>
          <cell r="G820">
            <v>1486.53</v>
          </cell>
        </row>
        <row r="821">
          <cell r="B821">
            <v>817</v>
          </cell>
          <cell r="C821">
            <v>1756.2600000000248</v>
          </cell>
          <cell r="D821">
            <v>2458.7600000000002</v>
          </cell>
          <cell r="F821">
            <v>1063.1099999999831</v>
          </cell>
          <cell r="G821">
            <v>1488.35</v>
          </cell>
        </row>
        <row r="822">
          <cell r="B822">
            <v>818</v>
          </cell>
          <cell r="C822">
            <v>1758.4100000000249</v>
          </cell>
          <cell r="D822">
            <v>2461.77</v>
          </cell>
          <cell r="F822">
            <v>1064.409999999983</v>
          </cell>
          <cell r="G822">
            <v>1490.17</v>
          </cell>
        </row>
        <row r="823">
          <cell r="B823">
            <v>819</v>
          </cell>
          <cell r="C823">
            <v>1760.560000000025</v>
          </cell>
          <cell r="D823">
            <v>2464.7800000000002</v>
          </cell>
          <cell r="F823">
            <v>1065.709999999983</v>
          </cell>
          <cell r="G823">
            <v>1491.99</v>
          </cell>
        </row>
        <row r="824">
          <cell r="B824">
            <v>820</v>
          </cell>
          <cell r="C824">
            <v>1762.710000000025</v>
          </cell>
          <cell r="D824">
            <v>2467.79</v>
          </cell>
          <cell r="F824">
            <v>1067.0099999999829</v>
          </cell>
          <cell r="G824">
            <v>1493.81</v>
          </cell>
        </row>
        <row r="825">
          <cell r="B825">
            <v>821</v>
          </cell>
          <cell r="C825">
            <v>1764.8600000000251</v>
          </cell>
          <cell r="D825">
            <v>2470.8000000000002</v>
          </cell>
          <cell r="F825">
            <v>1068.3099999999829</v>
          </cell>
          <cell r="G825">
            <v>1495.63</v>
          </cell>
        </row>
        <row r="826">
          <cell r="B826">
            <v>822</v>
          </cell>
          <cell r="C826">
            <v>1767.0100000000252</v>
          </cell>
          <cell r="D826">
            <v>2473.81</v>
          </cell>
          <cell r="F826">
            <v>1069.6099999999828</v>
          </cell>
          <cell r="G826">
            <v>1497.45</v>
          </cell>
        </row>
        <row r="827">
          <cell r="B827">
            <v>823</v>
          </cell>
          <cell r="C827">
            <v>1769.1600000000253</v>
          </cell>
          <cell r="D827">
            <v>2476.8200000000002</v>
          </cell>
          <cell r="F827">
            <v>1070.9099999999828</v>
          </cell>
          <cell r="G827">
            <v>1499.27</v>
          </cell>
        </row>
        <row r="828">
          <cell r="B828">
            <v>824</v>
          </cell>
          <cell r="C828">
            <v>1771.3100000000254</v>
          </cell>
          <cell r="D828">
            <v>2479.83</v>
          </cell>
          <cell r="F828">
            <v>1072.2099999999828</v>
          </cell>
          <cell r="G828">
            <v>1501.09</v>
          </cell>
        </row>
        <row r="829">
          <cell r="B829">
            <v>825</v>
          </cell>
          <cell r="C829">
            <v>1773.4600000000255</v>
          </cell>
          <cell r="D829">
            <v>2482.84</v>
          </cell>
          <cell r="F829">
            <v>1073.5099999999827</v>
          </cell>
          <cell r="G829">
            <v>1502.91</v>
          </cell>
        </row>
        <row r="830">
          <cell r="B830">
            <v>826</v>
          </cell>
          <cell r="C830">
            <v>1775.6100000000256</v>
          </cell>
          <cell r="D830">
            <v>2485.85</v>
          </cell>
          <cell r="F830">
            <v>1074.8099999999827</v>
          </cell>
          <cell r="G830">
            <v>1504.73</v>
          </cell>
        </row>
        <row r="831">
          <cell r="B831">
            <v>827</v>
          </cell>
          <cell r="C831">
            <v>1777.7600000000257</v>
          </cell>
          <cell r="D831">
            <v>2488.86</v>
          </cell>
          <cell r="F831">
            <v>1076.1099999999826</v>
          </cell>
          <cell r="G831">
            <v>1506.55</v>
          </cell>
        </row>
        <row r="832">
          <cell r="B832">
            <v>828</v>
          </cell>
          <cell r="C832">
            <v>1779.9100000000258</v>
          </cell>
          <cell r="D832">
            <v>2491.87</v>
          </cell>
          <cell r="F832">
            <v>1077.4099999999826</v>
          </cell>
          <cell r="G832">
            <v>1508.37</v>
          </cell>
        </row>
        <row r="833">
          <cell r="B833">
            <v>829</v>
          </cell>
          <cell r="C833">
            <v>1782.0600000000259</v>
          </cell>
          <cell r="D833">
            <v>2494.88</v>
          </cell>
          <cell r="F833">
            <v>1078.7099999999825</v>
          </cell>
          <cell r="G833">
            <v>1510.19</v>
          </cell>
        </row>
        <row r="834">
          <cell r="B834">
            <v>830</v>
          </cell>
          <cell r="C834">
            <v>1784.210000000026</v>
          </cell>
          <cell r="D834">
            <v>2497.89</v>
          </cell>
          <cell r="F834">
            <v>1080.0099999999825</v>
          </cell>
          <cell r="G834">
            <v>1512.01</v>
          </cell>
        </row>
        <row r="835">
          <cell r="B835">
            <v>831</v>
          </cell>
          <cell r="C835">
            <v>1786.360000000026</v>
          </cell>
          <cell r="D835">
            <v>2500.9</v>
          </cell>
          <cell r="F835">
            <v>1081.3099999999824</v>
          </cell>
          <cell r="G835">
            <v>1513.83</v>
          </cell>
        </row>
        <row r="836">
          <cell r="B836">
            <v>832</v>
          </cell>
          <cell r="C836">
            <v>1788.5100000000261</v>
          </cell>
          <cell r="D836">
            <v>2503.91</v>
          </cell>
          <cell r="F836">
            <v>1082.6099999999824</v>
          </cell>
          <cell r="G836">
            <v>1515.65</v>
          </cell>
        </row>
        <row r="837">
          <cell r="B837">
            <v>833</v>
          </cell>
          <cell r="C837">
            <v>1790.6600000000262</v>
          </cell>
          <cell r="D837">
            <v>2506.92</v>
          </cell>
          <cell r="F837">
            <v>1083.9099999999823</v>
          </cell>
          <cell r="G837">
            <v>1517.47</v>
          </cell>
        </row>
        <row r="838">
          <cell r="B838">
            <v>834</v>
          </cell>
          <cell r="C838">
            <v>1792.8100000000263</v>
          </cell>
          <cell r="D838">
            <v>2509.9299999999998</v>
          </cell>
          <cell r="F838">
            <v>1085.2099999999823</v>
          </cell>
          <cell r="G838">
            <v>1519.29</v>
          </cell>
        </row>
        <row r="839">
          <cell r="B839">
            <v>835</v>
          </cell>
          <cell r="C839">
            <v>1794.9600000000264</v>
          </cell>
          <cell r="D839">
            <v>2512.94</v>
          </cell>
          <cell r="F839">
            <v>1086.5099999999823</v>
          </cell>
          <cell r="G839">
            <v>1521.11</v>
          </cell>
        </row>
        <row r="840">
          <cell r="B840">
            <v>836</v>
          </cell>
          <cell r="C840">
            <v>1797.1100000000265</v>
          </cell>
          <cell r="D840">
            <v>2515.9499999999998</v>
          </cell>
          <cell r="F840">
            <v>1087.8099999999822</v>
          </cell>
          <cell r="G840">
            <v>1522.93</v>
          </cell>
        </row>
        <row r="841">
          <cell r="B841">
            <v>837</v>
          </cell>
          <cell r="C841">
            <v>1799.2600000000266</v>
          </cell>
          <cell r="D841">
            <v>2518.96</v>
          </cell>
          <cell r="F841">
            <v>1089.1099999999822</v>
          </cell>
          <cell r="G841">
            <v>1524.75</v>
          </cell>
        </row>
        <row r="842">
          <cell r="B842">
            <v>838</v>
          </cell>
          <cell r="C842">
            <v>1801.4100000000267</v>
          </cell>
          <cell r="D842">
            <v>2521.9699999999998</v>
          </cell>
          <cell r="F842">
            <v>1090.4099999999821</v>
          </cell>
          <cell r="G842">
            <v>1526.57</v>
          </cell>
        </row>
        <row r="843">
          <cell r="B843">
            <v>839</v>
          </cell>
          <cell r="C843">
            <v>1803.5600000000268</v>
          </cell>
          <cell r="D843">
            <v>2524.98</v>
          </cell>
          <cell r="F843">
            <v>1091.7099999999821</v>
          </cell>
          <cell r="G843">
            <v>1528.39</v>
          </cell>
        </row>
        <row r="844">
          <cell r="B844">
            <v>840</v>
          </cell>
          <cell r="C844">
            <v>1805.7100000000269</v>
          </cell>
          <cell r="D844">
            <v>2527.9899999999998</v>
          </cell>
          <cell r="F844">
            <v>1093.009999999982</v>
          </cell>
          <cell r="G844">
            <v>1530.21</v>
          </cell>
        </row>
        <row r="845">
          <cell r="B845">
            <v>841</v>
          </cell>
          <cell r="C845">
            <v>1807.860000000027</v>
          </cell>
          <cell r="D845">
            <v>2531</v>
          </cell>
          <cell r="F845">
            <v>1094.309999999982</v>
          </cell>
          <cell r="G845">
            <v>1532.03</v>
          </cell>
        </row>
        <row r="846">
          <cell r="B846">
            <v>842</v>
          </cell>
          <cell r="C846">
            <v>1810.010000000027</v>
          </cell>
          <cell r="D846">
            <v>2534.0100000000002</v>
          </cell>
          <cell r="F846">
            <v>1095.6099999999819</v>
          </cell>
          <cell r="G846">
            <v>1533.85</v>
          </cell>
        </row>
        <row r="847">
          <cell r="B847">
            <v>843</v>
          </cell>
          <cell r="C847">
            <v>1812.1600000000271</v>
          </cell>
          <cell r="D847">
            <v>2537.02</v>
          </cell>
          <cell r="F847">
            <v>1096.9099999999819</v>
          </cell>
          <cell r="G847">
            <v>1535.67</v>
          </cell>
        </row>
        <row r="848">
          <cell r="B848">
            <v>844</v>
          </cell>
          <cell r="C848">
            <v>1814.3100000000272</v>
          </cell>
          <cell r="D848">
            <v>2540.0300000000002</v>
          </cell>
          <cell r="F848">
            <v>1098.2099999999818</v>
          </cell>
          <cell r="G848">
            <v>1537.49</v>
          </cell>
        </row>
        <row r="849">
          <cell r="B849">
            <v>845</v>
          </cell>
          <cell r="C849">
            <v>1816.4600000000273</v>
          </cell>
          <cell r="D849">
            <v>2543.04</v>
          </cell>
          <cell r="F849">
            <v>1099.5099999999818</v>
          </cell>
          <cell r="G849">
            <v>1539.31</v>
          </cell>
        </row>
        <row r="850">
          <cell r="B850">
            <v>846</v>
          </cell>
          <cell r="C850">
            <v>1818.6100000000274</v>
          </cell>
          <cell r="D850">
            <v>2546.0500000000002</v>
          </cell>
          <cell r="F850">
            <v>1100.8099999999818</v>
          </cell>
          <cell r="G850">
            <v>1541.13</v>
          </cell>
        </row>
        <row r="851">
          <cell r="B851">
            <v>847</v>
          </cell>
          <cell r="C851">
            <v>1820.7600000000275</v>
          </cell>
          <cell r="D851">
            <v>2549.06</v>
          </cell>
          <cell r="F851">
            <v>1102.1099999999817</v>
          </cell>
          <cell r="G851">
            <v>1542.95</v>
          </cell>
        </row>
        <row r="852">
          <cell r="B852">
            <v>848</v>
          </cell>
          <cell r="C852">
            <v>1822.9100000000276</v>
          </cell>
          <cell r="D852">
            <v>2552.0700000000002</v>
          </cell>
          <cell r="F852">
            <v>1103.4099999999817</v>
          </cell>
          <cell r="G852">
            <v>1544.77</v>
          </cell>
        </row>
        <row r="853">
          <cell r="B853">
            <v>849</v>
          </cell>
          <cell r="C853">
            <v>1825.0600000000277</v>
          </cell>
          <cell r="D853">
            <v>2555.08</v>
          </cell>
          <cell r="F853">
            <v>1104.7099999999816</v>
          </cell>
          <cell r="G853">
            <v>1546.59</v>
          </cell>
        </row>
        <row r="854">
          <cell r="B854">
            <v>850</v>
          </cell>
          <cell r="C854">
            <v>1827.2100000000278</v>
          </cell>
          <cell r="D854">
            <v>2558.09</v>
          </cell>
          <cell r="F854">
            <v>1106.0099999999816</v>
          </cell>
          <cell r="G854">
            <v>1548.41</v>
          </cell>
        </row>
        <row r="855">
          <cell r="B855">
            <v>851</v>
          </cell>
          <cell r="C855">
            <v>1829.3600000000279</v>
          </cell>
          <cell r="D855">
            <v>2561.1</v>
          </cell>
          <cell r="F855">
            <v>1107.3099999999815</v>
          </cell>
          <cell r="G855">
            <v>1550.23</v>
          </cell>
        </row>
        <row r="856">
          <cell r="B856">
            <v>852</v>
          </cell>
          <cell r="C856">
            <v>1831.510000000028</v>
          </cell>
          <cell r="D856">
            <v>2564.11</v>
          </cell>
          <cell r="F856">
            <v>1108.6099999999815</v>
          </cell>
          <cell r="G856">
            <v>1552.05</v>
          </cell>
        </row>
        <row r="857">
          <cell r="B857">
            <v>853</v>
          </cell>
          <cell r="C857">
            <v>1833.660000000028</v>
          </cell>
          <cell r="D857">
            <v>2567.12</v>
          </cell>
          <cell r="F857">
            <v>1109.9099999999814</v>
          </cell>
          <cell r="G857">
            <v>1553.87</v>
          </cell>
        </row>
        <row r="858">
          <cell r="B858">
            <v>854</v>
          </cell>
          <cell r="C858">
            <v>1835.8100000000281</v>
          </cell>
          <cell r="D858">
            <v>2570.13</v>
          </cell>
          <cell r="F858">
            <v>1111.2099999999814</v>
          </cell>
          <cell r="G858">
            <v>1555.69</v>
          </cell>
        </row>
        <row r="859">
          <cell r="B859">
            <v>855</v>
          </cell>
          <cell r="C859">
            <v>1837.9600000000282</v>
          </cell>
          <cell r="D859">
            <v>2573.14</v>
          </cell>
          <cell r="F859">
            <v>1112.5099999999813</v>
          </cell>
          <cell r="G859">
            <v>1557.51</v>
          </cell>
        </row>
        <row r="860">
          <cell r="B860">
            <v>856</v>
          </cell>
          <cell r="C860">
            <v>1840.1100000000283</v>
          </cell>
          <cell r="D860">
            <v>2576.15</v>
          </cell>
          <cell r="F860">
            <v>1113.8099999999813</v>
          </cell>
          <cell r="G860">
            <v>1559.33</v>
          </cell>
        </row>
        <row r="861">
          <cell r="B861">
            <v>857</v>
          </cell>
          <cell r="C861">
            <v>1842.2600000000284</v>
          </cell>
          <cell r="D861">
            <v>2579.16</v>
          </cell>
          <cell r="F861">
            <v>1115.1099999999813</v>
          </cell>
          <cell r="G861">
            <v>1561.15</v>
          </cell>
        </row>
        <row r="862">
          <cell r="B862">
            <v>858</v>
          </cell>
          <cell r="C862">
            <v>1844.4100000000285</v>
          </cell>
          <cell r="D862">
            <v>2582.17</v>
          </cell>
          <cell r="F862">
            <v>1116.4099999999812</v>
          </cell>
          <cell r="G862">
            <v>1562.97</v>
          </cell>
        </row>
        <row r="863">
          <cell r="B863">
            <v>859</v>
          </cell>
          <cell r="C863">
            <v>1846.5600000000286</v>
          </cell>
          <cell r="D863">
            <v>2585.1799999999998</v>
          </cell>
          <cell r="F863">
            <v>1117.7099999999812</v>
          </cell>
          <cell r="G863">
            <v>1564.79</v>
          </cell>
        </row>
        <row r="864">
          <cell r="B864">
            <v>860</v>
          </cell>
          <cell r="C864">
            <v>1848.7100000000287</v>
          </cell>
          <cell r="D864">
            <v>2588.19</v>
          </cell>
          <cell r="F864">
            <v>1119.0099999999811</v>
          </cell>
          <cell r="G864">
            <v>1566.61</v>
          </cell>
        </row>
        <row r="865">
          <cell r="B865">
            <v>861</v>
          </cell>
          <cell r="C865">
            <v>1850.8600000000288</v>
          </cell>
          <cell r="D865">
            <v>2591.1999999999998</v>
          </cell>
          <cell r="F865">
            <v>1120.3099999999811</v>
          </cell>
          <cell r="G865">
            <v>1568.43</v>
          </cell>
        </row>
        <row r="866">
          <cell r="B866">
            <v>862</v>
          </cell>
          <cell r="C866">
            <v>1853.0100000000289</v>
          </cell>
          <cell r="D866">
            <v>2594.21</v>
          </cell>
          <cell r="F866">
            <v>1121.609999999981</v>
          </cell>
          <cell r="G866">
            <v>1570.25</v>
          </cell>
        </row>
        <row r="867">
          <cell r="B867">
            <v>863</v>
          </cell>
          <cell r="C867">
            <v>1855.160000000029</v>
          </cell>
          <cell r="D867">
            <v>2597.2199999999998</v>
          </cell>
          <cell r="F867">
            <v>1122.909999999981</v>
          </cell>
          <cell r="G867">
            <v>1572.07</v>
          </cell>
        </row>
        <row r="868">
          <cell r="B868">
            <v>864</v>
          </cell>
          <cell r="C868">
            <v>1857.310000000029</v>
          </cell>
          <cell r="D868">
            <v>2600.23</v>
          </cell>
          <cell r="F868">
            <v>1124.2099999999809</v>
          </cell>
          <cell r="G868">
            <v>1573.89</v>
          </cell>
        </row>
        <row r="869">
          <cell r="B869">
            <v>865</v>
          </cell>
          <cell r="C869">
            <v>1859.4600000000291</v>
          </cell>
          <cell r="D869">
            <v>2603.2399999999998</v>
          </cell>
          <cell r="F869">
            <v>1125.5099999999809</v>
          </cell>
          <cell r="G869">
            <v>1575.71</v>
          </cell>
        </row>
        <row r="870">
          <cell r="B870">
            <v>866</v>
          </cell>
          <cell r="C870">
            <v>1861.6100000000292</v>
          </cell>
          <cell r="D870">
            <v>2606.25</v>
          </cell>
          <cell r="F870">
            <v>1126.8099999999808</v>
          </cell>
          <cell r="G870">
            <v>1577.53</v>
          </cell>
        </row>
        <row r="871">
          <cell r="B871">
            <v>867</v>
          </cell>
          <cell r="C871">
            <v>1863.7600000000293</v>
          </cell>
          <cell r="D871">
            <v>2609.2600000000002</v>
          </cell>
          <cell r="F871">
            <v>1128.1099999999808</v>
          </cell>
          <cell r="G871">
            <v>1579.35</v>
          </cell>
        </row>
        <row r="872">
          <cell r="B872">
            <v>868</v>
          </cell>
          <cell r="C872">
            <v>1865.9100000000294</v>
          </cell>
          <cell r="D872">
            <v>2612.27</v>
          </cell>
          <cell r="F872">
            <v>1129.4099999999808</v>
          </cell>
          <cell r="G872">
            <v>1581.17</v>
          </cell>
        </row>
        <row r="873">
          <cell r="B873">
            <v>869</v>
          </cell>
          <cell r="C873">
            <v>1868.0600000000295</v>
          </cell>
          <cell r="D873">
            <v>2615.2800000000002</v>
          </cell>
          <cell r="F873">
            <v>1130.7099999999807</v>
          </cell>
          <cell r="G873">
            <v>1582.99</v>
          </cell>
        </row>
        <row r="874">
          <cell r="B874">
            <v>870</v>
          </cell>
          <cell r="C874">
            <v>1870.2100000000296</v>
          </cell>
          <cell r="D874">
            <v>2618.29</v>
          </cell>
          <cell r="F874">
            <v>1132.0099999999807</v>
          </cell>
          <cell r="G874">
            <v>1584.81</v>
          </cell>
        </row>
        <row r="875">
          <cell r="B875">
            <v>871</v>
          </cell>
          <cell r="C875">
            <v>1872.3600000000297</v>
          </cell>
          <cell r="D875">
            <v>2621.3000000000002</v>
          </cell>
          <cell r="F875">
            <v>1133.3099999999806</v>
          </cell>
          <cell r="G875">
            <v>1586.63</v>
          </cell>
        </row>
        <row r="876">
          <cell r="B876">
            <v>872</v>
          </cell>
          <cell r="C876">
            <v>1874.5100000000298</v>
          </cell>
          <cell r="D876">
            <v>2624.31</v>
          </cell>
          <cell r="F876">
            <v>1134.6099999999806</v>
          </cell>
          <cell r="G876">
            <v>1588.45</v>
          </cell>
        </row>
        <row r="877">
          <cell r="B877">
            <v>873</v>
          </cell>
          <cell r="C877">
            <v>1876.6600000000299</v>
          </cell>
          <cell r="D877">
            <v>2627.32</v>
          </cell>
          <cell r="F877">
            <v>1135.9099999999805</v>
          </cell>
          <cell r="G877">
            <v>1590.27</v>
          </cell>
        </row>
        <row r="878">
          <cell r="B878">
            <v>874</v>
          </cell>
          <cell r="C878">
            <v>1878.81000000003</v>
          </cell>
          <cell r="D878">
            <v>2630.33</v>
          </cell>
          <cell r="F878">
            <v>1137.2099999999805</v>
          </cell>
          <cell r="G878">
            <v>1592.09</v>
          </cell>
        </row>
        <row r="879">
          <cell r="B879">
            <v>875</v>
          </cell>
          <cell r="C879">
            <v>1880.96000000003</v>
          </cell>
          <cell r="D879">
            <v>2633.34</v>
          </cell>
          <cell r="F879">
            <v>1138.5099999999804</v>
          </cell>
          <cell r="G879">
            <v>1593.91</v>
          </cell>
        </row>
        <row r="880">
          <cell r="B880">
            <v>876</v>
          </cell>
          <cell r="C880">
            <v>1883.1100000000301</v>
          </cell>
          <cell r="D880">
            <v>2636.35</v>
          </cell>
          <cell r="F880">
            <v>1139.8099999999804</v>
          </cell>
          <cell r="G880">
            <v>1595.73</v>
          </cell>
        </row>
        <row r="881">
          <cell r="B881">
            <v>877</v>
          </cell>
          <cell r="C881">
            <v>1885.2600000000302</v>
          </cell>
          <cell r="D881">
            <v>2639.36</v>
          </cell>
          <cell r="F881">
            <v>1141.1099999999803</v>
          </cell>
          <cell r="G881">
            <v>1597.55</v>
          </cell>
        </row>
        <row r="882">
          <cell r="B882">
            <v>878</v>
          </cell>
          <cell r="C882">
            <v>1887.4100000000303</v>
          </cell>
          <cell r="D882">
            <v>2642.37</v>
          </cell>
          <cell r="F882">
            <v>1142.4099999999803</v>
          </cell>
          <cell r="G882">
            <v>1599.37</v>
          </cell>
        </row>
        <row r="883">
          <cell r="B883">
            <v>879</v>
          </cell>
          <cell r="C883">
            <v>1889.5600000000304</v>
          </cell>
          <cell r="D883">
            <v>2645.38</v>
          </cell>
          <cell r="F883">
            <v>1143.7099999999803</v>
          </cell>
          <cell r="G883">
            <v>1601.19</v>
          </cell>
        </row>
        <row r="884">
          <cell r="B884">
            <v>880</v>
          </cell>
          <cell r="C884">
            <v>1891.7100000000305</v>
          </cell>
          <cell r="D884">
            <v>2648.39</v>
          </cell>
          <cell r="F884">
            <v>1145.0099999999802</v>
          </cell>
          <cell r="G884">
            <v>1603.01</v>
          </cell>
        </row>
        <row r="885">
          <cell r="B885">
            <v>881</v>
          </cell>
          <cell r="C885">
            <v>1893.8600000000306</v>
          </cell>
          <cell r="D885">
            <v>2651.4</v>
          </cell>
          <cell r="F885">
            <v>1146.3099999999802</v>
          </cell>
          <cell r="G885">
            <v>1604.83</v>
          </cell>
        </row>
        <row r="886">
          <cell r="B886">
            <v>882</v>
          </cell>
          <cell r="C886">
            <v>1896.0100000000307</v>
          </cell>
          <cell r="D886">
            <v>2654.41</v>
          </cell>
          <cell r="F886">
            <v>1147.6099999999801</v>
          </cell>
          <cell r="G886">
            <v>1606.65</v>
          </cell>
        </row>
        <row r="887">
          <cell r="B887">
            <v>883</v>
          </cell>
          <cell r="C887">
            <v>1898.1600000000308</v>
          </cell>
          <cell r="D887">
            <v>2657.42</v>
          </cell>
          <cell r="F887">
            <v>1148.9099999999801</v>
          </cell>
          <cell r="G887">
            <v>1608.47</v>
          </cell>
        </row>
        <row r="888">
          <cell r="B888">
            <v>884</v>
          </cell>
          <cell r="C888">
            <v>1900.3100000000309</v>
          </cell>
          <cell r="D888">
            <v>2660.43</v>
          </cell>
          <cell r="F888">
            <v>1150.20999999998</v>
          </cell>
          <cell r="G888">
            <v>1610.29</v>
          </cell>
        </row>
        <row r="889">
          <cell r="B889">
            <v>885</v>
          </cell>
          <cell r="C889">
            <v>1902.460000000031</v>
          </cell>
          <cell r="D889">
            <v>2663.44</v>
          </cell>
          <cell r="F889">
            <v>1151.50999999998</v>
          </cell>
          <cell r="G889">
            <v>1612.11</v>
          </cell>
        </row>
        <row r="890">
          <cell r="B890">
            <v>886</v>
          </cell>
          <cell r="C890">
            <v>1904.6100000000311</v>
          </cell>
          <cell r="D890">
            <v>2666.45</v>
          </cell>
          <cell r="F890">
            <v>1152.8099999999799</v>
          </cell>
          <cell r="G890">
            <v>1613.93</v>
          </cell>
        </row>
        <row r="891">
          <cell r="B891">
            <v>887</v>
          </cell>
          <cell r="C891">
            <v>1906.7600000000311</v>
          </cell>
          <cell r="D891">
            <v>2669.46</v>
          </cell>
          <cell r="F891">
            <v>1154.1099999999799</v>
          </cell>
          <cell r="G891">
            <v>1615.75</v>
          </cell>
        </row>
        <row r="892">
          <cell r="B892">
            <v>888</v>
          </cell>
          <cell r="C892">
            <v>1908.9100000000312</v>
          </cell>
          <cell r="D892">
            <v>2672.47</v>
          </cell>
          <cell r="F892">
            <v>1155.4099999999798</v>
          </cell>
          <cell r="G892">
            <v>1617.57</v>
          </cell>
        </row>
        <row r="893">
          <cell r="B893">
            <v>889</v>
          </cell>
          <cell r="C893">
            <v>1911.0600000000313</v>
          </cell>
          <cell r="D893">
            <v>2675.48</v>
          </cell>
          <cell r="F893">
            <v>1156.7099999999798</v>
          </cell>
          <cell r="G893">
            <v>1619.39</v>
          </cell>
        </row>
        <row r="894">
          <cell r="B894">
            <v>890</v>
          </cell>
          <cell r="C894">
            <v>1913.2100000000314</v>
          </cell>
          <cell r="D894">
            <v>2678.49</v>
          </cell>
          <cell r="F894">
            <v>1158.0099999999798</v>
          </cell>
          <cell r="G894">
            <v>1621.21</v>
          </cell>
        </row>
        <row r="895">
          <cell r="B895">
            <v>891</v>
          </cell>
          <cell r="C895">
            <v>1915.3600000000315</v>
          </cell>
          <cell r="D895">
            <v>2681.5</v>
          </cell>
          <cell r="F895">
            <v>1159.3099999999797</v>
          </cell>
          <cell r="G895">
            <v>1623.03</v>
          </cell>
        </row>
        <row r="896">
          <cell r="B896">
            <v>892</v>
          </cell>
          <cell r="C896">
            <v>1917.5100000000316</v>
          </cell>
          <cell r="D896">
            <v>2684.51</v>
          </cell>
          <cell r="F896">
            <v>1160.6099999999797</v>
          </cell>
          <cell r="G896">
            <v>1624.85</v>
          </cell>
        </row>
        <row r="897">
          <cell r="B897">
            <v>893</v>
          </cell>
          <cell r="C897">
            <v>1919.6600000000317</v>
          </cell>
          <cell r="D897">
            <v>2687.52</v>
          </cell>
          <cell r="F897">
            <v>1161.9099999999796</v>
          </cell>
          <cell r="G897">
            <v>1626.67</v>
          </cell>
        </row>
        <row r="898">
          <cell r="B898">
            <v>894</v>
          </cell>
          <cell r="C898">
            <v>1921.8100000000318</v>
          </cell>
          <cell r="D898">
            <v>2690.53</v>
          </cell>
          <cell r="F898">
            <v>1163.2099999999796</v>
          </cell>
          <cell r="G898">
            <v>1628.49</v>
          </cell>
        </row>
        <row r="899">
          <cell r="B899">
            <v>895</v>
          </cell>
          <cell r="C899">
            <v>1923.9600000000319</v>
          </cell>
          <cell r="D899">
            <v>2693.54</v>
          </cell>
          <cell r="F899">
            <v>1164.5099999999795</v>
          </cell>
          <cell r="G899">
            <v>1630.31</v>
          </cell>
        </row>
        <row r="900">
          <cell r="B900">
            <v>896</v>
          </cell>
          <cell r="C900">
            <v>1926.110000000032</v>
          </cell>
          <cell r="D900">
            <v>2696.55</v>
          </cell>
          <cell r="F900">
            <v>1165.8099999999795</v>
          </cell>
          <cell r="G900">
            <v>1632.13</v>
          </cell>
        </row>
        <row r="901">
          <cell r="B901">
            <v>897</v>
          </cell>
          <cell r="C901">
            <v>1928.2600000000321</v>
          </cell>
          <cell r="D901">
            <v>2699.56</v>
          </cell>
          <cell r="F901">
            <v>1167.1099999999794</v>
          </cell>
          <cell r="G901">
            <v>1633.95</v>
          </cell>
        </row>
        <row r="902">
          <cell r="B902">
            <v>898</v>
          </cell>
          <cell r="C902">
            <v>1930.4100000000321</v>
          </cell>
          <cell r="D902">
            <v>2702.57</v>
          </cell>
          <cell r="F902">
            <v>1168.4099999999794</v>
          </cell>
          <cell r="G902">
            <v>1635.77</v>
          </cell>
        </row>
        <row r="903">
          <cell r="B903">
            <v>899</v>
          </cell>
          <cell r="C903">
            <v>1932.5600000000322</v>
          </cell>
          <cell r="D903">
            <v>2705.58</v>
          </cell>
          <cell r="F903">
            <v>1169.7099999999793</v>
          </cell>
          <cell r="G903">
            <v>1637.59</v>
          </cell>
        </row>
        <row r="904">
          <cell r="B904">
            <v>900</v>
          </cell>
          <cell r="C904">
            <v>1934.7100000000323</v>
          </cell>
          <cell r="D904">
            <v>2708.59</v>
          </cell>
          <cell r="F904">
            <v>1171.0099999999793</v>
          </cell>
          <cell r="G904">
            <v>1639.41</v>
          </cell>
        </row>
        <row r="905">
          <cell r="B905">
            <v>901</v>
          </cell>
          <cell r="C905">
            <v>1936.8600000000324</v>
          </cell>
          <cell r="D905">
            <v>2711.6</v>
          </cell>
          <cell r="F905">
            <v>1172.3099999999793</v>
          </cell>
          <cell r="G905">
            <v>1641.23</v>
          </cell>
        </row>
        <row r="906">
          <cell r="B906">
            <v>902</v>
          </cell>
          <cell r="C906">
            <v>1939.0100000000325</v>
          </cell>
          <cell r="D906">
            <v>2714.61</v>
          </cell>
          <cell r="F906">
            <v>1173.6099999999792</v>
          </cell>
          <cell r="G906">
            <v>1643.05</v>
          </cell>
        </row>
        <row r="907">
          <cell r="B907">
            <v>903</v>
          </cell>
          <cell r="C907">
            <v>1941.1600000000326</v>
          </cell>
          <cell r="D907">
            <v>2717.62</v>
          </cell>
          <cell r="F907">
            <v>1174.9099999999792</v>
          </cell>
          <cell r="G907">
            <v>1644.87</v>
          </cell>
        </row>
        <row r="908">
          <cell r="B908">
            <v>904</v>
          </cell>
          <cell r="C908">
            <v>1943.3100000000327</v>
          </cell>
          <cell r="D908">
            <v>2720.63</v>
          </cell>
          <cell r="F908">
            <v>1176.2099999999791</v>
          </cell>
          <cell r="G908">
            <v>1646.69</v>
          </cell>
        </row>
        <row r="909">
          <cell r="B909">
            <v>905</v>
          </cell>
          <cell r="C909">
            <v>1945.4600000000328</v>
          </cell>
          <cell r="D909">
            <v>2723.64</v>
          </cell>
          <cell r="F909">
            <v>1177.5099999999791</v>
          </cell>
          <cell r="G909">
            <v>1648.51</v>
          </cell>
        </row>
        <row r="910">
          <cell r="B910">
            <v>906</v>
          </cell>
          <cell r="C910">
            <v>1947.6100000000329</v>
          </cell>
          <cell r="D910">
            <v>2726.65</v>
          </cell>
          <cell r="F910">
            <v>1178.809999999979</v>
          </cell>
          <cell r="G910">
            <v>1650.33</v>
          </cell>
        </row>
        <row r="911">
          <cell r="B911">
            <v>907</v>
          </cell>
          <cell r="C911">
            <v>1949.760000000033</v>
          </cell>
          <cell r="D911">
            <v>2729.66</v>
          </cell>
          <cell r="F911">
            <v>1180.109999999979</v>
          </cell>
          <cell r="G911">
            <v>1652.15</v>
          </cell>
        </row>
        <row r="912">
          <cell r="B912">
            <v>908</v>
          </cell>
          <cell r="C912">
            <v>1951.9100000000331</v>
          </cell>
          <cell r="D912">
            <v>2732.67</v>
          </cell>
          <cell r="F912">
            <v>1181.4099999999789</v>
          </cell>
          <cell r="G912">
            <v>1653.97</v>
          </cell>
        </row>
        <row r="913">
          <cell r="B913">
            <v>909</v>
          </cell>
          <cell r="C913">
            <v>1954.0600000000331</v>
          </cell>
          <cell r="D913">
            <v>2735.68</v>
          </cell>
          <cell r="F913">
            <v>1182.7099999999789</v>
          </cell>
          <cell r="G913">
            <v>1655.79</v>
          </cell>
        </row>
        <row r="914">
          <cell r="B914">
            <v>910</v>
          </cell>
          <cell r="C914">
            <v>1956.2100000000332</v>
          </cell>
          <cell r="D914">
            <v>2738.69</v>
          </cell>
          <cell r="F914">
            <v>1184.0099999999788</v>
          </cell>
          <cell r="G914">
            <v>1657.61</v>
          </cell>
        </row>
        <row r="915">
          <cell r="B915">
            <v>911</v>
          </cell>
          <cell r="C915">
            <v>1958.3600000000333</v>
          </cell>
          <cell r="D915">
            <v>2741.7</v>
          </cell>
          <cell r="F915">
            <v>1185.3099999999788</v>
          </cell>
          <cell r="G915">
            <v>1659.43</v>
          </cell>
        </row>
        <row r="916">
          <cell r="B916">
            <v>912</v>
          </cell>
          <cell r="C916">
            <v>1960.5100000000334</v>
          </cell>
          <cell r="D916">
            <v>2744.71</v>
          </cell>
          <cell r="F916">
            <v>1186.6099999999788</v>
          </cell>
          <cell r="G916">
            <v>1661.25</v>
          </cell>
        </row>
        <row r="917">
          <cell r="B917">
            <v>913</v>
          </cell>
          <cell r="C917">
            <v>1962.6600000000335</v>
          </cell>
          <cell r="D917">
            <v>2747.72</v>
          </cell>
          <cell r="F917">
            <v>1187.9099999999787</v>
          </cell>
          <cell r="G917">
            <v>1663.07</v>
          </cell>
        </row>
        <row r="918">
          <cell r="B918">
            <v>914</v>
          </cell>
          <cell r="C918">
            <v>1964.8100000000336</v>
          </cell>
          <cell r="D918">
            <v>2750.73</v>
          </cell>
          <cell r="F918">
            <v>1189.2099999999787</v>
          </cell>
          <cell r="G918">
            <v>1664.89</v>
          </cell>
        </row>
        <row r="919">
          <cell r="B919">
            <v>915</v>
          </cell>
          <cell r="C919">
            <v>1966.9600000000337</v>
          </cell>
          <cell r="D919">
            <v>2753.74</v>
          </cell>
          <cell r="F919">
            <v>1190.5099999999786</v>
          </cell>
          <cell r="G919">
            <v>1666.71</v>
          </cell>
        </row>
        <row r="920">
          <cell r="B920">
            <v>916</v>
          </cell>
          <cell r="C920">
            <v>1969.1100000000338</v>
          </cell>
          <cell r="D920">
            <v>2756.75</v>
          </cell>
          <cell r="F920">
            <v>1191.8099999999786</v>
          </cell>
          <cell r="G920">
            <v>1668.53</v>
          </cell>
        </row>
        <row r="921">
          <cell r="B921">
            <v>917</v>
          </cell>
          <cell r="C921">
            <v>1971.2600000000339</v>
          </cell>
          <cell r="D921">
            <v>2759.76</v>
          </cell>
          <cell r="F921">
            <v>1193.1099999999785</v>
          </cell>
          <cell r="G921">
            <v>1670.35</v>
          </cell>
        </row>
        <row r="922">
          <cell r="B922">
            <v>918</v>
          </cell>
          <cell r="C922">
            <v>1973.410000000034</v>
          </cell>
          <cell r="D922">
            <v>2762.77</v>
          </cell>
          <cell r="F922">
            <v>1194.4099999999785</v>
          </cell>
          <cell r="G922">
            <v>1672.17</v>
          </cell>
        </row>
        <row r="923">
          <cell r="B923">
            <v>919</v>
          </cell>
          <cell r="C923">
            <v>1975.5600000000341</v>
          </cell>
          <cell r="D923">
            <v>2765.78</v>
          </cell>
          <cell r="F923">
            <v>1195.7099999999784</v>
          </cell>
          <cell r="G923">
            <v>1673.99</v>
          </cell>
        </row>
        <row r="924">
          <cell r="B924">
            <v>920</v>
          </cell>
          <cell r="C924">
            <v>1977.7100000000341</v>
          </cell>
          <cell r="D924">
            <v>2768.79</v>
          </cell>
          <cell r="F924">
            <v>1197.0099999999784</v>
          </cell>
          <cell r="G924">
            <v>1675.81</v>
          </cell>
        </row>
        <row r="925">
          <cell r="B925">
            <v>921</v>
          </cell>
          <cell r="C925">
            <v>1979.8600000000342</v>
          </cell>
          <cell r="D925">
            <v>2771.8</v>
          </cell>
          <cell r="F925">
            <v>1198.3099999999783</v>
          </cell>
          <cell r="G925">
            <v>1677.63</v>
          </cell>
        </row>
        <row r="926">
          <cell r="B926">
            <v>922</v>
          </cell>
          <cell r="C926">
            <v>1982.0100000000343</v>
          </cell>
          <cell r="D926">
            <v>2774.81</v>
          </cell>
          <cell r="F926">
            <v>1199.6099999999783</v>
          </cell>
          <cell r="G926">
            <v>1679.45</v>
          </cell>
        </row>
        <row r="927">
          <cell r="B927">
            <v>923</v>
          </cell>
          <cell r="C927">
            <v>1984.1600000000344</v>
          </cell>
          <cell r="D927">
            <v>2777.82</v>
          </cell>
          <cell r="F927">
            <v>1200.9099999999783</v>
          </cell>
          <cell r="G927">
            <v>1681.27</v>
          </cell>
        </row>
        <row r="928">
          <cell r="B928">
            <v>924</v>
          </cell>
          <cell r="C928">
            <v>1986.3100000000345</v>
          </cell>
          <cell r="D928">
            <v>2780.83</v>
          </cell>
          <cell r="F928">
            <v>1202.2099999999782</v>
          </cell>
          <cell r="G928">
            <v>1683.09</v>
          </cell>
        </row>
        <row r="929">
          <cell r="B929">
            <v>925</v>
          </cell>
          <cell r="C929">
            <v>1988.4600000000346</v>
          </cell>
          <cell r="D929">
            <v>2783.84</v>
          </cell>
          <cell r="F929">
            <v>1203.5099999999782</v>
          </cell>
          <cell r="G929">
            <v>1684.91</v>
          </cell>
        </row>
        <row r="930">
          <cell r="B930">
            <v>926</v>
          </cell>
          <cell r="C930">
            <v>1990.6100000000347</v>
          </cell>
          <cell r="D930">
            <v>2786.85</v>
          </cell>
          <cell r="F930">
            <v>1204.8099999999781</v>
          </cell>
          <cell r="G930">
            <v>1686.73</v>
          </cell>
        </row>
        <row r="931">
          <cell r="B931">
            <v>927</v>
          </cell>
          <cell r="C931">
            <v>1992.7600000000348</v>
          </cell>
          <cell r="D931">
            <v>2789.86</v>
          </cell>
          <cell r="F931">
            <v>1206.1099999999781</v>
          </cell>
          <cell r="G931">
            <v>1688.55</v>
          </cell>
        </row>
        <row r="932">
          <cell r="B932">
            <v>928</v>
          </cell>
          <cell r="C932">
            <v>1994.9100000000349</v>
          </cell>
          <cell r="D932">
            <v>2792.87</v>
          </cell>
          <cell r="F932">
            <v>1207.409999999978</v>
          </cell>
          <cell r="G932">
            <v>1690.37</v>
          </cell>
        </row>
        <row r="933">
          <cell r="B933">
            <v>929</v>
          </cell>
          <cell r="C933">
            <v>1997.060000000035</v>
          </cell>
          <cell r="D933">
            <v>2795.88</v>
          </cell>
          <cell r="F933">
            <v>1208.709999999978</v>
          </cell>
          <cell r="G933">
            <v>1692.19</v>
          </cell>
        </row>
        <row r="934">
          <cell r="B934">
            <v>930</v>
          </cell>
          <cell r="C934">
            <v>1999.2100000000351</v>
          </cell>
          <cell r="D934">
            <v>2798.89</v>
          </cell>
          <cell r="F934">
            <v>1210.0099999999779</v>
          </cell>
          <cell r="G934">
            <v>1694.01</v>
          </cell>
        </row>
        <row r="935">
          <cell r="B935">
            <v>931</v>
          </cell>
          <cell r="C935">
            <v>2001.3600000000351</v>
          </cell>
          <cell r="D935">
            <v>2801.9</v>
          </cell>
          <cell r="F935">
            <v>1211.3099999999779</v>
          </cell>
          <cell r="G935">
            <v>1695.83</v>
          </cell>
        </row>
        <row r="936">
          <cell r="B936">
            <v>932</v>
          </cell>
          <cell r="C936">
            <v>2003.5100000000352</v>
          </cell>
          <cell r="D936">
            <v>2804.91</v>
          </cell>
          <cell r="F936">
            <v>1212.6099999999778</v>
          </cell>
          <cell r="G936">
            <v>1697.65</v>
          </cell>
        </row>
        <row r="937">
          <cell r="B937">
            <v>933</v>
          </cell>
          <cell r="C937">
            <v>2005.6600000000353</v>
          </cell>
          <cell r="D937">
            <v>2807.92</v>
          </cell>
          <cell r="F937">
            <v>1213.9099999999778</v>
          </cell>
          <cell r="G937">
            <v>1699.47</v>
          </cell>
        </row>
        <row r="938">
          <cell r="B938">
            <v>934</v>
          </cell>
          <cell r="C938">
            <v>2007.8100000000354</v>
          </cell>
          <cell r="D938">
            <v>2810.93</v>
          </cell>
          <cell r="F938">
            <v>1215.2099999999778</v>
          </cell>
          <cell r="G938">
            <v>1701.29</v>
          </cell>
        </row>
        <row r="939">
          <cell r="B939">
            <v>935</v>
          </cell>
          <cell r="C939">
            <v>2009.9600000000355</v>
          </cell>
          <cell r="D939">
            <v>2813.94</v>
          </cell>
          <cell r="F939">
            <v>1216.5099999999777</v>
          </cell>
          <cell r="G939">
            <v>1703.11</v>
          </cell>
        </row>
        <row r="940">
          <cell r="B940">
            <v>936</v>
          </cell>
          <cell r="C940">
            <v>2012.1100000000356</v>
          </cell>
          <cell r="D940">
            <v>2816.95</v>
          </cell>
          <cell r="F940">
            <v>1217.8099999999777</v>
          </cell>
          <cell r="G940">
            <v>1704.93</v>
          </cell>
        </row>
        <row r="941">
          <cell r="B941">
            <v>937</v>
          </cell>
          <cell r="C941">
            <v>2014.2600000000357</v>
          </cell>
          <cell r="D941">
            <v>2819.96</v>
          </cell>
          <cell r="F941">
            <v>1219.1099999999776</v>
          </cell>
          <cell r="G941">
            <v>1706.75</v>
          </cell>
        </row>
        <row r="942">
          <cell r="B942">
            <v>938</v>
          </cell>
          <cell r="C942">
            <v>2016.4100000000358</v>
          </cell>
          <cell r="D942">
            <v>2822.97</v>
          </cell>
          <cell r="F942">
            <v>1220.4099999999776</v>
          </cell>
          <cell r="G942">
            <v>1708.57</v>
          </cell>
        </row>
        <row r="943">
          <cell r="B943">
            <v>939</v>
          </cell>
          <cell r="C943">
            <v>2018.5600000000359</v>
          </cell>
          <cell r="D943">
            <v>2825.98</v>
          </cell>
          <cell r="F943">
            <v>1221.7099999999775</v>
          </cell>
          <cell r="G943">
            <v>1710.39</v>
          </cell>
        </row>
        <row r="944">
          <cell r="B944">
            <v>940</v>
          </cell>
          <cell r="C944">
            <v>2020.710000000036</v>
          </cell>
          <cell r="D944">
            <v>2828.99</v>
          </cell>
          <cell r="F944">
            <v>1223.0099999999775</v>
          </cell>
          <cell r="G944">
            <v>1712.21</v>
          </cell>
        </row>
        <row r="945">
          <cell r="B945">
            <v>941</v>
          </cell>
          <cell r="C945">
            <v>2022.8600000000361</v>
          </cell>
          <cell r="D945">
            <v>2832</v>
          </cell>
          <cell r="F945">
            <v>1224.3099999999774</v>
          </cell>
          <cell r="G945">
            <v>1714.03</v>
          </cell>
        </row>
        <row r="946">
          <cell r="B946">
            <v>942</v>
          </cell>
          <cell r="C946">
            <v>2025.0100000000361</v>
          </cell>
          <cell r="D946">
            <v>2835.01</v>
          </cell>
          <cell r="F946">
            <v>1225.6099999999774</v>
          </cell>
          <cell r="G946">
            <v>1715.85</v>
          </cell>
        </row>
        <row r="947">
          <cell r="B947">
            <v>943</v>
          </cell>
          <cell r="C947">
            <v>2027.1600000000362</v>
          </cell>
          <cell r="D947">
            <v>2838.02</v>
          </cell>
          <cell r="F947">
            <v>1226.9099999999773</v>
          </cell>
          <cell r="G947">
            <v>1717.67</v>
          </cell>
        </row>
        <row r="948">
          <cell r="B948">
            <v>944</v>
          </cell>
          <cell r="C948">
            <v>2029.3100000000363</v>
          </cell>
          <cell r="D948">
            <v>2841.03</v>
          </cell>
          <cell r="F948">
            <v>1228.2099999999773</v>
          </cell>
          <cell r="G948">
            <v>1719.49</v>
          </cell>
        </row>
        <row r="949">
          <cell r="B949">
            <v>945</v>
          </cell>
          <cell r="C949">
            <v>2031.4600000000364</v>
          </cell>
          <cell r="D949">
            <v>2844.04</v>
          </cell>
          <cell r="F949">
            <v>1229.5099999999773</v>
          </cell>
          <cell r="G949">
            <v>1721.31</v>
          </cell>
        </row>
        <row r="950">
          <cell r="B950">
            <v>946</v>
          </cell>
          <cell r="C950">
            <v>2033.6100000000365</v>
          </cell>
          <cell r="D950">
            <v>2847.05</v>
          </cell>
          <cell r="F950">
            <v>1230.8099999999772</v>
          </cell>
          <cell r="G950">
            <v>1723.13</v>
          </cell>
        </row>
        <row r="951">
          <cell r="B951">
            <v>947</v>
          </cell>
          <cell r="C951">
            <v>2035.7600000000366</v>
          </cell>
          <cell r="D951">
            <v>2850.06</v>
          </cell>
          <cell r="F951">
            <v>1232.1099999999772</v>
          </cell>
          <cell r="G951">
            <v>1724.95</v>
          </cell>
        </row>
        <row r="952">
          <cell r="B952">
            <v>948</v>
          </cell>
          <cell r="C952">
            <v>2037.9100000000367</v>
          </cell>
          <cell r="D952">
            <v>2853.07</v>
          </cell>
          <cell r="F952">
            <v>1233.4099999999771</v>
          </cell>
          <cell r="G952">
            <v>1726.77</v>
          </cell>
        </row>
        <row r="953">
          <cell r="B953">
            <v>949</v>
          </cell>
          <cell r="C953">
            <v>2040.0600000000368</v>
          </cell>
          <cell r="D953">
            <v>2856.08</v>
          </cell>
          <cell r="F953">
            <v>1234.7099999999771</v>
          </cell>
          <cell r="G953">
            <v>1728.59</v>
          </cell>
        </row>
        <row r="954">
          <cell r="B954">
            <v>950</v>
          </cell>
          <cell r="C954">
            <v>2042.2100000000369</v>
          </cell>
          <cell r="D954">
            <v>2859.09</v>
          </cell>
          <cell r="F954">
            <v>1236.009999999977</v>
          </cell>
          <cell r="G954">
            <v>1730.41</v>
          </cell>
        </row>
        <row r="955">
          <cell r="B955">
            <v>951</v>
          </cell>
          <cell r="C955">
            <v>2044.360000000037</v>
          </cell>
          <cell r="D955">
            <v>2862.1</v>
          </cell>
          <cell r="F955">
            <v>1237.309999999977</v>
          </cell>
          <cell r="G955">
            <v>1732.23</v>
          </cell>
        </row>
        <row r="956">
          <cell r="B956">
            <v>952</v>
          </cell>
          <cell r="C956">
            <v>2046.5100000000371</v>
          </cell>
          <cell r="D956">
            <v>2865.11</v>
          </cell>
          <cell r="F956">
            <v>1238.6099999999769</v>
          </cell>
          <cell r="G956">
            <v>1734.05</v>
          </cell>
        </row>
        <row r="957">
          <cell r="B957">
            <v>953</v>
          </cell>
          <cell r="C957">
            <v>2048.6600000000371</v>
          </cell>
          <cell r="D957">
            <v>2868.12</v>
          </cell>
          <cell r="F957">
            <v>1239.9099999999769</v>
          </cell>
          <cell r="G957">
            <v>1735.87</v>
          </cell>
        </row>
        <row r="958">
          <cell r="B958">
            <v>954</v>
          </cell>
          <cell r="C958">
            <v>2050.8100000000372</v>
          </cell>
          <cell r="D958">
            <v>2871.13</v>
          </cell>
          <cell r="F958">
            <v>1241.2099999999768</v>
          </cell>
          <cell r="G958">
            <v>1737.69</v>
          </cell>
        </row>
        <row r="959">
          <cell r="B959">
            <v>955</v>
          </cell>
          <cell r="C959">
            <v>2052.9600000000373</v>
          </cell>
          <cell r="D959">
            <v>2874.14</v>
          </cell>
          <cell r="F959">
            <v>1242.5099999999768</v>
          </cell>
          <cell r="G959">
            <v>1739.51</v>
          </cell>
        </row>
        <row r="960">
          <cell r="B960">
            <v>956</v>
          </cell>
          <cell r="C960">
            <v>2055.1100000000374</v>
          </cell>
          <cell r="D960">
            <v>2877.15</v>
          </cell>
          <cell r="F960">
            <v>1243.8099999999768</v>
          </cell>
          <cell r="G960">
            <v>1741.33</v>
          </cell>
        </row>
        <row r="961">
          <cell r="B961">
            <v>957</v>
          </cell>
          <cell r="C961">
            <v>2057.2600000000375</v>
          </cell>
          <cell r="D961">
            <v>2880.16</v>
          </cell>
          <cell r="F961">
            <v>1245.1099999999767</v>
          </cell>
          <cell r="G961">
            <v>1743.15</v>
          </cell>
        </row>
        <row r="962">
          <cell r="B962">
            <v>958</v>
          </cell>
          <cell r="C962">
            <v>2059.4100000000376</v>
          </cell>
          <cell r="D962">
            <v>2883.17</v>
          </cell>
          <cell r="F962">
            <v>1246.4099999999767</v>
          </cell>
          <cell r="G962">
            <v>1744.97</v>
          </cell>
        </row>
        <row r="963">
          <cell r="B963">
            <v>959</v>
          </cell>
          <cell r="C963">
            <v>2061.5600000000377</v>
          </cell>
          <cell r="D963">
            <v>2886.18</v>
          </cell>
          <cell r="F963">
            <v>1247.7099999999766</v>
          </cell>
          <cell r="G963">
            <v>1746.79</v>
          </cell>
        </row>
        <row r="964">
          <cell r="B964">
            <v>960</v>
          </cell>
          <cell r="C964">
            <v>2063.7100000000378</v>
          </cell>
          <cell r="D964">
            <v>2889.19</v>
          </cell>
          <cell r="F964">
            <v>1249.0099999999766</v>
          </cell>
          <cell r="G964">
            <v>1748.61</v>
          </cell>
        </row>
        <row r="965">
          <cell r="B965">
            <v>961</v>
          </cell>
          <cell r="C965">
            <v>2065.8600000000379</v>
          </cell>
          <cell r="D965">
            <v>2892.2</v>
          </cell>
          <cell r="F965">
            <v>1250.3099999999765</v>
          </cell>
          <cell r="G965">
            <v>1750.43</v>
          </cell>
        </row>
        <row r="966">
          <cell r="B966">
            <v>962</v>
          </cell>
          <cell r="C966">
            <v>2068.010000000038</v>
          </cell>
          <cell r="D966">
            <v>2895.21</v>
          </cell>
          <cell r="F966">
            <v>1251.6099999999765</v>
          </cell>
          <cell r="G966">
            <v>1752.25</v>
          </cell>
        </row>
        <row r="967">
          <cell r="B967">
            <v>963</v>
          </cell>
          <cell r="C967">
            <v>2070.1600000000381</v>
          </cell>
          <cell r="D967">
            <v>2898.22</v>
          </cell>
          <cell r="F967">
            <v>1252.9099999999764</v>
          </cell>
          <cell r="G967">
            <v>1754.07</v>
          </cell>
        </row>
        <row r="968">
          <cell r="B968">
            <v>964</v>
          </cell>
          <cell r="C968">
            <v>2072.3100000000381</v>
          </cell>
          <cell r="D968">
            <v>2901.23</v>
          </cell>
          <cell r="F968">
            <v>1254.2099999999764</v>
          </cell>
          <cell r="G968">
            <v>1755.89</v>
          </cell>
        </row>
        <row r="969">
          <cell r="B969">
            <v>965</v>
          </cell>
          <cell r="C969">
            <v>2074.4600000000382</v>
          </cell>
          <cell r="D969">
            <v>2904.24</v>
          </cell>
          <cell r="F969">
            <v>1255.5099999999763</v>
          </cell>
          <cell r="G969">
            <v>1757.71</v>
          </cell>
        </row>
        <row r="970">
          <cell r="B970">
            <v>966</v>
          </cell>
          <cell r="C970">
            <v>2076.6100000000383</v>
          </cell>
          <cell r="D970">
            <v>2907.25</v>
          </cell>
          <cell r="F970">
            <v>1256.8099999999763</v>
          </cell>
          <cell r="G970">
            <v>1759.53</v>
          </cell>
        </row>
        <row r="971">
          <cell r="B971">
            <v>967</v>
          </cell>
          <cell r="C971">
            <v>2078.7600000000384</v>
          </cell>
          <cell r="D971">
            <v>2910.26</v>
          </cell>
          <cell r="F971">
            <v>1258.1099999999763</v>
          </cell>
          <cell r="G971">
            <v>1761.35</v>
          </cell>
        </row>
        <row r="972">
          <cell r="B972">
            <v>968</v>
          </cell>
          <cell r="C972">
            <v>2080.9100000000385</v>
          </cell>
          <cell r="D972">
            <v>2913.27</v>
          </cell>
          <cell r="F972">
            <v>1259.4099999999762</v>
          </cell>
          <cell r="G972">
            <v>1763.17</v>
          </cell>
        </row>
        <row r="973">
          <cell r="B973">
            <v>969</v>
          </cell>
          <cell r="C973">
            <v>2083.0600000000386</v>
          </cell>
          <cell r="D973">
            <v>2916.28</v>
          </cell>
          <cell r="F973">
            <v>1260.7099999999762</v>
          </cell>
          <cell r="G973">
            <v>1764.99</v>
          </cell>
        </row>
        <row r="974">
          <cell r="B974">
            <v>970</v>
          </cell>
          <cell r="C974">
            <v>2085.2100000000387</v>
          </cell>
          <cell r="D974">
            <v>2919.29</v>
          </cell>
          <cell r="F974">
            <v>1262.0099999999761</v>
          </cell>
          <cell r="G974">
            <v>1766.81</v>
          </cell>
        </row>
        <row r="975">
          <cell r="B975">
            <v>971</v>
          </cell>
          <cell r="C975">
            <v>2087.3600000000388</v>
          </cell>
          <cell r="D975">
            <v>2922.3</v>
          </cell>
          <cell r="F975">
            <v>1263.3099999999761</v>
          </cell>
          <cell r="G975">
            <v>1768.63</v>
          </cell>
        </row>
        <row r="976">
          <cell r="B976">
            <v>972</v>
          </cell>
          <cell r="C976">
            <v>2089.5100000000389</v>
          </cell>
          <cell r="D976">
            <v>2925.31</v>
          </cell>
          <cell r="F976">
            <v>1264.609999999976</v>
          </cell>
          <cell r="G976">
            <v>1770.45</v>
          </cell>
        </row>
        <row r="977">
          <cell r="B977">
            <v>973</v>
          </cell>
          <cell r="C977">
            <v>2091.660000000039</v>
          </cell>
          <cell r="D977">
            <v>2928.32</v>
          </cell>
          <cell r="F977">
            <v>1265.909999999976</v>
          </cell>
          <cell r="G977">
            <v>1772.27</v>
          </cell>
        </row>
        <row r="978">
          <cell r="B978">
            <v>974</v>
          </cell>
          <cell r="C978">
            <v>2093.8100000000391</v>
          </cell>
          <cell r="D978">
            <v>2931.33</v>
          </cell>
          <cell r="F978">
            <v>1267.2099999999759</v>
          </cell>
          <cell r="G978">
            <v>1774.09</v>
          </cell>
        </row>
        <row r="979">
          <cell r="B979">
            <v>975</v>
          </cell>
          <cell r="C979">
            <v>2095.9600000000391</v>
          </cell>
          <cell r="D979">
            <v>2934.34</v>
          </cell>
          <cell r="F979">
            <v>1268.5099999999759</v>
          </cell>
          <cell r="G979">
            <v>1775.91</v>
          </cell>
        </row>
        <row r="980">
          <cell r="B980">
            <v>976</v>
          </cell>
          <cell r="C980">
            <v>2098.1100000000392</v>
          </cell>
          <cell r="D980">
            <v>2937.35</v>
          </cell>
          <cell r="F980">
            <v>1269.8099999999758</v>
          </cell>
          <cell r="G980">
            <v>1777.73</v>
          </cell>
        </row>
        <row r="981">
          <cell r="B981">
            <v>977</v>
          </cell>
          <cell r="C981">
            <v>2100.2600000000393</v>
          </cell>
          <cell r="D981">
            <v>2940.36</v>
          </cell>
          <cell r="F981">
            <v>1271.1099999999758</v>
          </cell>
          <cell r="G981">
            <v>1779.55</v>
          </cell>
        </row>
        <row r="982">
          <cell r="B982">
            <v>978</v>
          </cell>
          <cell r="C982">
            <v>2102.4100000000394</v>
          </cell>
          <cell r="D982">
            <v>2943.37</v>
          </cell>
          <cell r="F982">
            <v>1272.4099999999758</v>
          </cell>
          <cell r="G982">
            <v>1781.37</v>
          </cell>
        </row>
        <row r="983">
          <cell r="B983">
            <v>979</v>
          </cell>
          <cell r="C983">
            <v>2104.5600000000395</v>
          </cell>
          <cell r="D983">
            <v>2946.38</v>
          </cell>
          <cell r="F983">
            <v>1273.7099999999757</v>
          </cell>
          <cell r="G983">
            <v>1783.19</v>
          </cell>
        </row>
        <row r="984">
          <cell r="B984">
            <v>980</v>
          </cell>
          <cell r="C984">
            <v>2106.7100000000396</v>
          </cell>
          <cell r="D984">
            <v>2949.39</v>
          </cell>
          <cell r="F984">
            <v>1275.0099999999757</v>
          </cell>
          <cell r="G984">
            <v>1785.01</v>
          </cell>
        </row>
        <row r="985">
          <cell r="B985">
            <v>981</v>
          </cell>
          <cell r="C985">
            <v>2108.8600000000397</v>
          </cell>
          <cell r="D985">
            <v>2952.4</v>
          </cell>
          <cell r="F985">
            <v>1276.3099999999756</v>
          </cell>
          <cell r="G985">
            <v>1786.83</v>
          </cell>
        </row>
        <row r="986">
          <cell r="B986">
            <v>982</v>
          </cell>
          <cell r="C986">
            <v>2111.0100000000398</v>
          </cell>
          <cell r="D986">
            <v>2955.41</v>
          </cell>
          <cell r="F986">
            <v>1277.6099999999756</v>
          </cell>
          <cell r="G986">
            <v>1788.65</v>
          </cell>
        </row>
        <row r="987">
          <cell r="B987">
            <v>983</v>
          </cell>
          <cell r="C987">
            <v>2113.1600000000399</v>
          </cell>
          <cell r="D987">
            <v>2958.42</v>
          </cell>
          <cell r="F987">
            <v>1278.9099999999755</v>
          </cell>
          <cell r="G987">
            <v>1790.47</v>
          </cell>
        </row>
        <row r="988">
          <cell r="B988">
            <v>984</v>
          </cell>
          <cell r="C988">
            <v>2115.31000000004</v>
          </cell>
          <cell r="D988">
            <v>2961.43</v>
          </cell>
          <cell r="F988">
            <v>1280.2099999999755</v>
          </cell>
          <cell r="G988">
            <v>1792.29</v>
          </cell>
        </row>
        <row r="989">
          <cell r="B989">
            <v>985</v>
          </cell>
          <cell r="C989">
            <v>2117.4600000000401</v>
          </cell>
          <cell r="D989">
            <v>2964.44</v>
          </cell>
          <cell r="F989">
            <v>1281.5099999999754</v>
          </cell>
          <cell r="G989">
            <v>1794.11</v>
          </cell>
        </row>
        <row r="990">
          <cell r="B990">
            <v>986</v>
          </cell>
          <cell r="C990">
            <v>2119.6100000000401</v>
          </cell>
          <cell r="D990">
            <v>2967.45</v>
          </cell>
          <cell r="F990">
            <v>1282.8099999999754</v>
          </cell>
          <cell r="G990">
            <v>1795.93</v>
          </cell>
        </row>
        <row r="991">
          <cell r="B991">
            <v>987</v>
          </cell>
          <cell r="C991">
            <v>2121.7600000000402</v>
          </cell>
          <cell r="D991">
            <v>2970.46</v>
          </cell>
          <cell r="F991">
            <v>1284.1099999999753</v>
          </cell>
          <cell r="G991">
            <v>1797.75</v>
          </cell>
        </row>
        <row r="992">
          <cell r="B992">
            <v>988</v>
          </cell>
          <cell r="C992">
            <v>2123.9100000000403</v>
          </cell>
          <cell r="D992">
            <v>2973.47</v>
          </cell>
          <cell r="F992">
            <v>1285.4099999999753</v>
          </cell>
          <cell r="G992">
            <v>1799.57</v>
          </cell>
        </row>
        <row r="993">
          <cell r="B993">
            <v>989</v>
          </cell>
          <cell r="C993">
            <v>2126.0600000000404</v>
          </cell>
          <cell r="D993">
            <v>2976.48</v>
          </cell>
          <cell r="F993">
            <v>1286.7099999999753</v>
          </cell>
          <cell r="G993">
            <v>1801.39</v>
          </cell>
        </row>
        <row r="994">
          <cell r="B994">
            <v>990</v>
          </cell>
          <cell r="C994">
            <v>2128.2100000000405</v>
          </cell>
          <cell r="D994">
            <v>2979.49</v>
          </cell>
          <cell r="F994">
            <v>1288.0099999999752</v>
          </cell>
          <cell r="G994">
            <v>1803.21</v>
          </cell>
        </row>
        <row r="995">
          <cell r="B995">
            <v>991</v>
          </cell>
          <cell r="C995">
            <v>2130.3600000000406</v>
          </cell>
          <cell r="D995">
            <v>2982.5</v>
          </cell>
          <cell r="F995">
            <v>1289.3099999999752</v>
          </cell>
          <cell r="G995">
            <v>1805.03</v>
          </cell>
        </row>
        <row r="996">
          <cell r="B996">
            <v>992</v>
          </cell>
          <cell r="C996">
            <v>2132.5100000000407</v>
          </cell>
          <cell r="D996">
            <v>2985.51</v>
          </cell>
          <cell r="F996">
            <v>1290.6099999999751</v>
          </cell>
          <cell r="G996">
            <v>1806.85</v>
          </cell>
        </row>
        <row r="997">
          <cell r="B997">
            <v>993</v>
          </cell>
          <cell r="C997">
            <v>2134.6600000000408</v>
          </cell>
          <cell r="D997">
            <v>2988.52</v>
          </cell>
          <cell r="F997">
            <v>1291.9099999999751</v>
          </cell>
          <cell r="G997">
            <v>1808.67</v>
          </cell>
        </row>
        <row r="998">
          <cell r="B998">
            <v>994</v>
          </cell>
          <cell r="C998">
            <v>2136.8100000000409</v>
          </cell>
          <cell r="D998">
            <v>2991.53</v>
          </cell>
          <cell r="F998">
            <v>1293.209999999975</v>
          </cell>
          <cell r="G998">
            <v>1810.49</v>
          </cell>
        </row>
        <row r="999">
          <cell r="B999">
            <v>995</v>
          </cell>
          <cell r="C999">
            <v>2138.960000000041</v>
          </cell>
          <cell r="D999">
            <v>2994.54</v>
          </cell>
          <cell r="F999">
            <v>1294.509999999975</v>
          </cell>
          <cell r="G999">
            <v>1812.31</v>
          </cell>
        </row>
        <row r="1000">
          <cell r="B1000">
            <v>996</v>
          </cell>
          <cell r="C1000">
            <v>2141.1100000000411</v>
          </cell>
          <cell r="D1000">
            <v>2997.55</v>
          </cell>
          <cell r="F1000">
            <v>1295.8099999999749</v>
          </cell>
          <cell r="G1000">
            <v>1814.13</v>
          </cell>
        </row>
        <row r="1001">
          <cell r="B1001">
            <v>997</v>
          </cell>
          <cell r="C1001">
            <v>2143.2600000000411</v>
          </cell>
          <cell r="D1001">
            <v>3000.56</v>
          </cell>
          <cell r="F1001">
            <v>1297.1099999999749</v>
          </cell>
          <cell r="G1001">
            <v>1815.95</v>
          </cell>
        </row>
        <row r="1002">
          <cell r="B1002">
            <v>998</v>
          </cell>
          <cell r="C1002">
            <v>2145.4100000000412</v>
          </cell>
          <cell r="D1002">
            <v>3003.57</v>
          </cell>
          <cell r="F1002">
            <v>1298.4099999999748</v>
          </cell>
          <cell r="G1002">
            <v>1817.77</v>
          </cell>
        </row>
        <row r="1003">
          <cell r="B1003">
            <v>999</v>
          </cell>
          <cell r="C1003">
            <v>2147.5600000000413</v>
          </cell>
          <cell r="D1003">
            <v>3006.58</v>
          </cell>
          <cell r="F1003">
            <v>1299.7099999999748</v>
          </cell>
          <cell r="G1003">
            <v>1819.59</v>
          </cell>
        </row>
        <row r="1004">
          <cell r="B1004">
            <v>1000</v>
          </cell>
          <cell r="C1004">
            <v>2149.7100000000414</v>
          </cell>
          <cell r="D1004">
            <v>3009.59</v>
          </cell>
          <cell r="F1004">
            <v>1301.0099999999748</v>
          </cell>
          <cell r="G1004">
            <v>1821.41</v>
          </cell>
        </row>
        <row r="1006">
          <cell r="C1006" t="str">
            <v>2.15</v>
          </cell>
          <cell r="F1006" t="str">
            <v>1.3</v>
          </cell>
        </row>
      </sheetData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2"/>
      <sheetName val="S3"/>
      <sheetName val="แบบ"/>
      <sheetName val="ข้อมูล"/>
      <sheetName val="บัญชี บ่อพัก "/>
      <sheetName val="บ่อพัก"/>
      <sheetName val="บัญชี Box Culvert "/>
      <sheetName val="Box Culvert"/>
      <sheetName val="บัญชีราง"/>
      <sheetName val="ราง"/>
      <sheetName val="คิดปริมาณงาน"/>
      <sheetName val="ปร.4"/>
      <sheetName val="ปร.5"/>
      <sheetName val="บัญชี"/>
      <sheetName val="สรุปงวด"/>
      <sheetName val="งวดงาน"/>
      <sheetName val="ต่อรอง"/>
      <sheetName val="ตารางแบ่งงวดเงิน"/>
      <sheetName val="งวดเงิน"/>
    </sheetNames>
    <sheetDataSet>
      <sheetData sheetId="0"/>
      <sheetData sheetId="1"/>
      <sheetData sheetId="2"/>
      <sheetData sheetId="3">
        <row r="149">
          <cell r="L149">
            <v>1009.97</v>
          </cell>
        </row>
        <row r="151">
          <cell r="L151">
            <v>1229.78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2"/>
      <sheetName val="S2-2"/>
      <sheetName val="S3"/>
      <sheetName val="ขนาดท่อ"/>
      <sheetName val="รูป"/>
      <sheetName val="แผนที่"/>
      <sheetName val="1.ข้อมูล"/>
      <sheetName val="2.รายการคำนวณ"/>
      <sheetName val="คิดปริมาณ"/>
      <sheetName val="Sheet3"/>
      <sheetName val="3.ปร.4 (2)"/>
      <sheetName val="6.แบบ Pavement "/>
      <sheetName val="Sheet1"/>
      <sheetName val="4.ปร.5  (2)"/>
      <sheetName val="แบบสรุปราคากลาง ปร.6"/>
      <sheetName val="3.ปร.4"/>
      <sheetName val="4.ปร.5 "/>
      <sheetName val="4.ปร.5(ราคากลาง)"/>
      <sheetName val="5.ปก"/>
      <sheetName val="6.แบบ Pavement  (2)"/>
      <sheetName val="ค่างานต้นทุน"/>
      <sheetName val="ราง"/>
      <sheetName val="ราคาวัสดุ"/>
      <sheetName val="รางระบายน้ำ"/>
      <sheetName val="บ่อพัก"/>
      <sheetName val="Sheet2 (2)"/>
      <sheetName val="7.บันทึกต่อรองราคา"/>
      <sheetName val="8.รายการคำนวณแบ่งงวดงาน"/>
      <sheetName val="9.สรุปงวดงาน"/>
      <sheetName val="10.รายละเอียดงวดงาน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7">
          <cell r="N17">
            <v>3186066.9999999991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"/>
      <sheetName val="รางระบายน้ำ"/>
      <sheetName val="บ่อพัก"/>
    </sheetNames>
    <sheetDataSet>
      <sheetData sheetId="0">
        <row r="18">
          <cell r="C18">
            <v>0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"/>
      <sheetName val="S2"/>
      <sheetName val="แบบ"/>
      <sheetName val="ถอดแบบ"/>
      <sheetName val="ข้อมูล"/>
      <sheetName val="ปร.4"/>
      <sheetName val="ปร.5"/>
      <sheetName val="ไฟฟ้า"/>
      <sheetName val="รางระบายน้ำ"/>
      <sheetName val="บ่อพัก"/>
    </sheetNames>
    <sheetDataSet>
      <sheetData sheetId="0"/>
      <sheetData sheetId="1"/>
      <sheetData sheetId="2"/>
      <sheetData sheetId="3"/>
      <sheetData sheetId="4">
        <row r="21">
          <cell r="G21">
            <v>23879.439999999999</v>
          </cell>
        </row>
      </sheetData>
      <sheetData sheetId="5"/>
      <sheetData sheetId="6">
        <row r="6">
          <cell r="C6" t="str">
            <v>ชย.6017</v>
          </cell>
          <cell r="F6" t="str">
            <v xml:space="preserve">ชื่อสายทาง   </v>
          </cell>
        </row>
      </sheetData>
      <sheetData sheetId="7"/>
      <sheetData sheetId="8">
        <row r="29">
          <cell r="K29">
            <v>1108.04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2"/>
      <sheetName val="S2-2"/>
      <sheetName val="S3"/>
      <sheetName val="1.ข้อมูล"/>
      <sheetName val="Sheet3"/>
      <sheetName val="2.รายการคำนวณ"/>
      <sheetName val="คิดปริมาณ"/>
      <sheetName val="3.ปร.4"/>
      <sheetName val="4.ปร.5"/>
      <sheetName val="5.ปก"/>
      <sheetName val="6.แบบ Pavement "/>
      <sheetName val="Sheet1"/>
      <sheetName val="5.ปก (2)"/>
      <sheetName val="ค่างานต้นทุน"/>
      <sheetName val="6.แบบ Pavement  (2)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1">
          <cell r="R81" t="str">
            <v>จำนวน    6     แผ่น</v>
          </cell>
          <cell r="T81">
            <v>41823</v>
          </cell>
          <cell r="U81" t="str">
            <v>ผอ.ส่วนบูรณะ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pattFill prst="ltUpDiag">
          <a:fgClr>
            <a:srgbClr val="000000"/>
          </a:fgClr>
          <a:bgClr>
            <a:srgbClr val="FFFFFF"/>
          </a:bgClr>
        </a:pattFill>
        <a:ln w="12700">
          <a:solidFill>
            <a:srgbClr val="000000"/>
          </a:solidFill>
          <a:round/>
          <a:headEnd/>
          <a:tailEnd/>
        </a:ln>
      </a:spPr>
      <a:bodyPr rtlCol="0" anchor="ctr"/>
      <a:lstStyle>
        <a:defPPr algn="ctr">
          <a:defRPr sz="1100"/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B1:BV208"/>
  <sheetViews>
    <sheetView topLeftCell="AR1" zoomScale="80" zoomScaleNormal="80" workbookViewId="0">
      <selection activeCell="J33" sqref="J33"/>
    </sheetView>
  </sheetViews>
  <sheetFormatPr defaultColWidth="9.140625" defaultRowHeight="20.25"/>
  <cols>
    <col min="1" max="1" width="4.7109375" style="8" customWidth="1"/>
    <col min="2" max="2" width="10.5703125" style="8" customWidth="1"/>
    <col min="3" max="3" width="9.5703125" style="8" customWidth="1"/>
    <col min="4" max="4" width="10.7109375" style="8" customWidth="1"/>
    <col min="5" max="5" width="11" style="8" customWidth="1"/>
    <col min="6" max="6" width="11.140625" style="8" customWidth="1"/>
    <col min="7" max="7" width="6" style="8" customWidth="1"/>
    <col min="8" max="8" width="29.42578125" style="8" customWidth="1"/>
    <col min="9" max="58" width="9.140625" style="8"/>
    <col min="59" max="59" width="6.5703125" style="8" customWidth="1"/>
    <col min="60" max="60" width="12.140625" style="8" customWidth="1"/>
    <col min="61" max="61" width="14.7109375" style="8" customWidth="1"/>
    <col min="62" max="62" width="14.140625" style="8" customWidth="1"/>
    <col min="63" max="63" width="13.7109375" style="8" bestFit="1" customWidth="1"/>
    <col min="64" max="65" width="10.42578125" style="8" customWidth="1"/>
    <col min="66" max="66" width="10.140625" style="8" customWidth="1"/>
    <col min="67" max="67" width="9.85546875" style="8" customWidth="1"/>
    <col min="68" max="68" width="9.42578125" style="8" customWidth="1"/>
    <col min="69" max="69" width="10.85546875" style="8" customWidth="1"/>
    <col min="70" max="70" width="9.85546875" style="8" customWidth="1"/>
    <col min="71" max="71" width="11.42578125" style="8" bestFit="1" customWidth="1"/>
    <col min="72" max="72" width="13.140625" style="8" customWidth="1"/>
    <col min="73" max="73" width="12.5703125" style="8" customWidth="1"/>
    <col min="74" max="16384" width="9.140625" style="8"/>
  </cols>
  <sheetData>
    <row r="1" spans="2:74" ht="21">
      <c r="B1" s="108" t="s">
        <v>151</v>
      </c>
      <c r="C1" s="109"/>
      <c r="D1" s="110"/>
      <c r="E1" s="104" t="s">
        <v>114</v>
      </c>
      <c r="F1" s="105"/>
      <c r="H1" s="134" t="s">
        <v>70</v>
      </c>
      <c r="I1" s="10" t="s">
        <v>150</v>
      </c>
      <c r="J1" s="101"/>
      <c r="K1" s="102">
        <f>C2</f>
        <v>30.5</v>
      </c>
      <c r="L1" s="101"/>
      <c r="M1" s="93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I1" s="40" t="s">
        <v>96</v>
      </c>
      <c r="BJ1" s="41"/>
      <c r="BK1" s="41"/>
      <c r="BL1" s="41"/>
      <c r="BM1" s="41"/>
      <c r="BN1" s="41"/>
      <c r="BO1" s="41"/>
      <c r="BP1" s="41"/>
      <c r="BQ1" s="41"/>
    </row>
    <row r="2" spans="2:74" ht="21.75" thickBot="1">
      <c r="B2" s="111" t="s">
        <v>55</v>
      </c>
      <c r="C2" s="112">
        <f>'1.ข้อมูล'!G213</f>
        <v>30.5</v>
      </c>
      <c r="D2" s="107" t="s">
        <v>56</v>
      </c>
      <c r="E2" s="106">
        <f>'1.ข้อมูล'!G213</f>
        <v>30.5</v>
      </c>
      <c r="F2" s="107" t="s">
        <v>56</v>
      </c>
      <c r="G2" s="71"/>
      <c r="H2" s="11" t="s">
        <v>1</v>
      </c>
      <c r="I2" s="12" t="s">
        <v>18</v>
      </c>
      <c r="J2" s="1889">
        <v>22.5</v>
      </c>
      <c r="K2" s="1890"/>
      <c r="L2" s="1889">
        <v>23.5</v>
      </c>
      <c r="M2" s="1890"/>
      <c r="N2" s="1889">
        <v>24.5</v>
      </c>
      <c r="O2" s="1890"/>
      <c r="P2" s="1891">
        <v>25.5</v>
      </c>
      <c r="Q2" s="1891"/>
      <c r="R2" s="1883">
        <v>26.5</v>
      </c>
      <c r="S2" s="1892"/>
      <c r="T2" s="1891">
        <v>27.5</v>
      </c>
      <c r="U2" s="1891"/>
      <c r="V2" s="1883">
        <v>28.5</v>
      </c>
      <c r="W2" s="1892"/>
      <c r="X2" s="1883">
        <v>29.5</v>
      </c>
      <c r="Y2" s="1892"/>
      <c r="Z2" s="1883">
        <v>30.5</v>
      </c>
      <c r="AA2" s="1892"/>
      <c r="AB2" s="1883">
        <v>31.5</v>
      </c>
      <c r="AC2" s="1892"/>
      <c r="AD2" s="1883">
        <v>32.5</v>
      </c>
      <c r="AE2" s="1892"/>
      <c r="AF2" s="1883">
        <v>33.5</v>
      </c>
      <c r="AG2" s="1884"/>
      <c r="AH2" s="1883">
        <v>34.5</v>
      </c>
      <c r="AI2" s="1892"/>
      <c r="AJ2" s="1884">
        <v>35.5</v>
      </c>
      <c r="AK2" s="1884"/>
      <c r="AL2" s="1885">
        <v>36.5</v>
      </c>
      <c r="AM2" s="1886"/>
      <c r="AN2" s="1885">
        <v>37.5</v>
      </c>
      <c r="AO2" s="1886"/>
      <c r="AP2" s="1885">
        <v>38.5</v>
      </c>
      <c r="AQ2" s="1886"/>
      <c r="AR2" s="1885">
        <v>39.5</v>
      </c>
      <c r="AS2" s="1886"/>
      <c r="AT2" s="1880">
        <v>21.5</v>
      </c>
      <c r="AU2" s="1882"/>
      <c r="AV2" s="1880">
        <v>20.5</v>
      </c>
      <c r="AW2" s="1881"/>
      <c r="AX2" s="1880">
        <v>19.5</v>
      </c>
      <c r="AY2" s="1881"/>
      <c r="AZ2" s="1880">
        <v>18.5</v>
      </c>
      <c r="BA2" s="1881"/>
      <c r="BB2" s="1880">
        <v>17.5</v>
      </c>
      <c r="BC2" s="1881"/>
      <c r="BD2" s="14" t="s">
        <v>71</v>
      </c>
      <c r="BE2" s="15"/>
      <c r="BF2" s="16"/>
      <c r="BI2" s="42"/>
      <c r="BJ2" s="34" t="s">
        <v>97</v>
      </c>
      <c r="BK2" s="34"/>
      <c r="BL2" s="34"/>
      <c r="BM2" s="34"/>
      <c r="BN2" s="34"/>
      <c r="BO2" s="43"/>
      <c r="BP2" s="43"/>
      <c r="BQ2" s="34"/>
    </row>
    <row r="3" spans="2:74">
      <c r="B3" s="3" t="s">
        <v>4</v>
      </c>
      <c r="C3" s="57" t="s">
        <v>54</v>
      </c>
      <c r="D3" s="57" t="s">
        <v>54</v>
      </c>
      <c r="E3" s="57" t="s">
        <v>54</v>
      </c>
      <c r="F3" s="57" t="s">
        <v>54</v>
      </c>
      <c r="G3" s="71"/>
      <c r="H3" s="20"/>
      <c r="I3" s="20"/>
      <c r="J3" s="94" t="s">
        <v>72</v>
      </c>
      <c r="K3" s="95" t="s">
        <v>69</v>
      </c>
      <c r="L3" s="94" t="s">
        <v>72</v>
      </c>
      <c r="M3" s="95" t="s">
        <v>69</v>
      </c>
      <c r="N3" s="94" t="s">
        <v>72</v>
      </c>
      <c r="O3" s="95" t="s">
        <v>69</v>
      </c>
      <c r="P3" s="628" t="s">
        <v>72</v>
      </c>
      <c r="Q3" s="629" t="s">
        <v>69</v>
      </c>
      <c r="R3" s="628" t="s">
        <v>72</v>
      </c>
      <c r="S3" s="629" t="s">
        <v>69</v>
      </c>
      <c r="T3" s="628" t="s">
        <v>72</v>
      </c>
      <c r="U3" s="629" t="s">
        <v>69</v>
      </c>
      <c r="V3" s="628" t="s">
        <v>72</v>
      </c>
      <c r="W3" s="629" t="s">
        <v>69</v>
      </c>
      <c r="X3" s="628" t="s">
        <v>72</v>
      </c>
      <c r="Y3" s="629" t="s">
        <v>69</v>
      </c>
      <c r="Z3" s="628" t="s">
        <v>72</v>
      </c>
      <c r="AA3" s="629" t="s">
        <v>69</v>
      </c>
      <c r="AB3" s="628" t="s">
        <v>72</v>
      </c>
      <c r="AC3" s="629" t="s">
        <v>69</v>
      </c>
      <c r="AD3" s="628" t="s">
        <v>72</v>
      </c>
      <c r="AE3" s="629" t="s">
        <v>69</v>
      </c>
      <c r="AF3" s="628" t="s">
        <v>72</v>
      </c>
      <c r="AG3" s="629" t="s">
        <v>69</v>
      </c>
      <c r="AH3" s="628" t="s">
        <v>72</v>
      </c>
      <c r="AI3" s="629" t="s">
        <v>69</v>
      </c>
      <c r="AJ3" s="628" t="s">
        <v>72</v>
      </c>
      <c r="AK3" s="629" t="s">
        <v>69</v>
      </c>
      <c r="AL3" s="94" t="s">
        <v>72</v>
      </c>
      <c r="AM3" s="95" t="s">
        <v>69</v>
      </c>
      <c r="AN3" s="94" t="s">
        <v>72</v>
      </c>
      <c r="AO3" s="95" t="s">
        <v>69</v>
      </c>
      <c r="AP3" s="94" t="s">
        <v>72</v>
      </c>
      <c r="AQ3" s="95" t="s">
        <v>69</v>
      </c>
      <c r="AR3" s="94" t="s">
        <v>72</v>
      </c>
      <c r="AS3" s="95" t="s">
        <v>69</v>
      </c>
      <c r="AT3" s="94" t="s">
        <v>72</v>
      </c>
      <c r="AU3" s="95" t="s">
        <v>69</v>
      </c>
      <c r="AV3" s="94" t="s">
        <v>72</v>
      </c>
      <c r="AW3" s="95" t="s">
        <v>69</v>
      </c>
      <c r="AX3" s="94" t="s">
        <v>72</v>
      </c>
      <c r="AY3" s="95" t="s">
        <v>69</v>
      </c>
      <c r="AZ3" s="94" t="s">
        <v>72</v>
      </c>
      <c r="BA3" s="95" t="s">
        <v>69</v>
      </c>
      <c r="BB3" s="94" t="s">
        <v>72</v>
      </c>
      <c r="BC3" s="95" t="s">
        <v>69</v>
      </c>
      <c r="BD3" s="17" t="s">
        <v>72</v>
      </c>
      <c r="BE3" s="18" t="s">
        <v>69</v>
      </c>
      <c r="BF3" s="19" t="str">
        <f>IF('1.ข้อมูล'!Q16=0,BD3,IF('1.ข้อมูล'!Q16=1,BE3,IF('1.ข้อมูล'!Q16=2,BE3,)))</f>
        <v>ปกติ</v>
      </c>
      <c r="BI3" s="42"/>
      <c r="BJ3" s="34" t="s">
        <v>58</v>
      </c>
      <c r="BK3" s="34"/>
      <c r="BL3" s="34"/>
      <c r="BM3" s="34">
        <v>5</v>
      </c>
      <c r="BN3" s="34" t="s">
        <v>59</v>
      </c>
      <c r="BO3" s="34"/>
      <c r="BP3" s="34"/>
      <c r="BQ3" s="34"/>
    </row>
    <row r="4" spans="2:74" ht="21" thickBot="1">
      <c r="B4" s="6" t="s">
        <v>37</v>
      </c>
      <c r="C4" s="72" t="s">
        <v>7</v>
      </c>
      <c r="D4" s="72" t="s">
        <v>3</v>
      </c>
      <c r="E4" s="72" t="s">
        <v>7</v>
      </c>
      <c r="F4" s="72" t="s">
        <v>3</v>
      </c>
      <c r="G4" s="70"/>
      <c r="H4" s="21" t="s">
        <v>73</v>
      </c>
      <c r="I4" s="22"/>
      <c r="J4" s="96"/>
      <c r="K4" s="96"/>
      <c r="L4" s="96"/>
      <c r="M4" s="96"/>
      <c r="N4" s="96"/>
      <c r="O4" s="96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30"/>
      <c r="BE4" s="30"/>
      <c r="BF4" s="30"/>
      <c r="BI4" s="42"/>
      <c r="BJ4" s="34" t="s">
        <v>61</v>
      </c>
      <c r="BK4" s="34"/>
      <c r="BL4" s="34"/>
      <c r="BM4" s="34">
        <f>'1.ข้อมูล'!Q10</f>
        <v>0</v>
      </c>
      <c r="BN4" s="34" t="s">
        <v>59</v>
      </c>
      <c r="BO4" s="34"/>
      <c r="BP4" s="34"/>
      <c r="BQ4" s="34"/>
    </row>
    <row r="5" spans="2:74">
      <c r="B5" s="148">
        <v>1</v>
      </c>
      <c r="C5" s="73">
        <f>IF($C$2=22.5,'S3'!A5,IF($C$2=23.5,'S3'!B5,IF($C$2=24.5,'S3'!C5,IF($C$2=25.5,'S3'!D5,IF($C$2=26.5,'S3'!E5,IF($C$2=27.5,'S3'!F5,IF($C$2=28.5,'S3'!G5,IF($C$2=29.5,'S3'!H5,IF($C$2=30.5,'S3'!I5,IF($C$2=31.5,'S3'!J5,IF($C$2=32.5,'S3'!K5,IF($C$2=33.5,'S3'!L5))))))))))))</f>
        <v>8.14</v>
      </c>
      <c r="D5" s="73">
        <f>ROUND(C5*1.4,2)</f>
        <v>11.4</v>
      </c>
      <c r="E5" s="73">
        <f>IF($E$2=22.5,'S3'!Y5,IF($E$2=23.5,'S3'!Z5,IF($E$2=24.5,'S3'!AA5,IF($E$2=25.5,'S3'!AB5,IF($E$2=26.5,'S3'!AC5,IF($E$2=27.5,'S3'!AD5,IF($E$2=28.5,'S3'!AE5,IF($E$2=29.5,'S3'!AF5,IF($E$2=30.5,'S3'!AG5,IF($E$2=31.5,'S3'!AH5,IF($E$2=32.5,'S3'!AI5,IF($E$2=33.5,'S3'!AJ5))))))))))))</f>
        <v>4.5</v>
      </c>
      <c r="F5" s="73">
        <f>ROUND(E5*1.4,2)</f>
        <v>6.3</v>
      </c>
      <c r="H5" s="22" t="s">
        <v>74</v>
      </c>
      <c r="I5" s="23" t="s">
        <v>75</v>
      </c>
      <c r="J5" s="97">
        <v>29.64</v>
      </c>
      <c r="K5" s="98">
        <v>31.27</v>
      </c>
      <c r="L5" s="97">
        <v>29.95</v>
      </c>
      <c r="M5" s="98">
        <v>31.58</v>
      </c>
      <c r="N5" s="97">
        <v>30.25</v>
      </c>
      <c r="O5" s="98">
        <v>31.88</v>
      </c>
      <c r="P5" s="1235">
        <v>30.56</v>
      </c>
      <c r="Q5" s="1236">
        <v>32.19</v>
      </c>
      <c r="R5" s="1235">
        <v>30.86</v>
      </c>
      <c r="S5" s="1236">
        <v>32.49</v>
      </c>
      <c r="T5" s="1235">
        <v>31.16</v>
      </c>
      <c r="U5" s="1236">
        <v>32.79</v>
      </c>
      <c r="V5" s="1235">
        <v>31.47</v>
      </c>
      <c r="W5" s="1236">
        <v>33.1</v>
      </c>
      <c r="X5" s="1235">
        <v>31.77</v>
      </c>
      <c r="Y5" s="1236">
        <v>33.4</v>
      </c>
      <c r="Z5" s="1236">
        <v>32.07</v>
      </c>
      <c r="AA5" s="1236">
        <v>33.700000000000003</v>
      </c>
      <c r="AB5" s="1236">
        <v>32.380000000000003</v>
      </c>
      <c r="AC5" s="1236">
        <v>34.01</v>
      </c>
      <c r="AD5" s="1237">
        <v>32.68</v>
      </c>
      <c r="AE5" s="1237">
        <v>34.31</v>
      </c>
      <c r="AF5" s="1237">
        <v>32.99</v>
      </c>
      <c r="AG5" s="1237">
        <v>34.619999999999997</v>
      </c>
      <c r="AH5" s="1237">
        <v>33.29</v>
      </c>
      <c r="AI5" s="1237">
        <v>34.92</v>
      </c>
      <c r="AJ5" s="1237">
        <v>33.590000000000003</v>
      </c>
      <c r="AK5" s="1237">
        <v>35.22</v>
      </c>
      <c r="AL5" s="1238">
        <v>33.9</v>
      </c>
      <c r="AM5" s="1238">
        <v>35.53</v>
      </c>
      <c r="AN5" s="1238">
        <v>34.200000000000003</v>
      </c>
      <c r="AO5" s="1238">
        <v>35.83</v>
      </c>
      <c r="AP5" s="1238">
        <v>34.5</v>
      </c>
      <c r="AQ5" s="1238">
        <v>36.130000000000003</v>
      </c>
      <c r="AR5" s="1238">
        <v>34.81</v>
      </c>
      <c r="AS5" s="1238">
        <v>36.44</v>
      </c>
      <c r="AT5" s="1238">
        <v>29.34</v>
      </c>
      <c r="AU5" s="1238">
        <v>30.97</v>
      </c>
      <c r="AV5" s="1238">
        <v>29.04</v>
      </c>
      <c r="AW5" s="1238">
        <v>30.67</v>
      </c>
      <c r="AX5" s="1238">
        <v>25.54</v>
      </c>
      <c r="AY5" s="1238">
        <v>27.13</v>
      </c>
      <c r="AZ5" s="1238">
        <v>25.24</v>
      </c>
      <c r="BA5" s="1238">
        <v>26.83</v>
      </c>
      <c r="BB5" s="1238">
        <v>24.93</v>
      </c>
      <c r="BC5" s="1238">
        <v>26.52</v>
      </c>
      <c r="BD5" s="150">
        <f t="shared" ref="BD5:BE7" si="0">IF($C$2=22.5,J5,IF($C$2=23.5,L5,IF($C$2=24.5,N5,IF($C$2=25.5,P5,IF($C$2=26.5,R5,IF($C$2=27.5,T5,IF($C$2=28.5,V5,IF($C$2=29.5,X5,IF($C$2=30.5,Z5,IF($C$2=31.5,AB5,IF($C$2=32.5,AD5,IF($C$2=33.5,AF5))))))))))))</f>
        <v>32.07</v>
      </c>
      <c r="BE5" s="150">
        <f t="shared" si="0"/>
        <v>33.700000000000003</v>
      </c>
      <c r="BF5" s="92">
        <f>IF('1.ข้อมูล'!$Q$16=0,BD5,IF('1.ข้อมูล'!$Q$16=1,BE5,IF('1.ข้อมูล'!$Q$16=2,BE5,)))</f>
        <v>32.07</v>
      </c>
      <c r="BI5" s="42"/>
      <c r="BJ5" s="34" t="s">
        <v>63</v>
      </c>
      <c r="BK5" s="34"/>
      <c r="BL5" s="34"/>
      <c r="BM5" s="34">
        <f>'1.ข้อมูล'!Q11</f>
        <v>0</v>
      </c>
      <c r="BN5" s="34" t="s">
        <v>59</v>
      </c>
      <c r="BO5" s="34"/>
      <c r="BP5" s="34"/>
      <c r="BQ5" s="34"/>
    </row>
    <row r="6" spans="2:74">
      <c r="B6" s="148">
        <v>2</v>
      </c>
      <c r="C6" s="74">
        <f>IF($C$2=22.5,'S3'!A6,IF($C$2=23.5,'S3'!B6,IF($C$2=24.5,'S3'!C6,IF($C$2=25.5,'S3'!D6,IF($C$2=26.5,'S3'!E6,IF($C$2=27.5,'S3'!F6,IF($C$2=28.5,'S3'!G6,IF($C$2=29.5,'S3'!H6,IF($C$2=30.5,'S3'!I6,IF($C$2=31.5,'S3'!J6,IF($C$2=32.5,'S3'!K6,IF($C$2=33.5,'S3'!L6))))))))))))</f>
        <v>9.9700000000000006</v>
      </c>
      <c r="D6" s="74">
        <f>ROUND(C6*1.4,2)</f>
        <v>13.96</v>
      </c>
      <c r="E6" s="74">
        <f>IF($E$2=22.5,'S3'!Y6,IF($E$2=23.5,'S3'!Z6,IF($E$2=24.5,'S3'!AA6,IF($E$2=25.5,'S3'!AB6,IF($E$2=26.5,'S3'!AC6,IF($E$2=27.5,'S3'!AD6,IF($E$2=28.5,'S3'!AE6,IF($E$2=29.5,'S3'!AF6,IF($E$2=30.5,'S3'!AG6,IF($E$2=31.5,'S3'!AH6,IF($E$2=32.5,'S3'!AI6,IF($E$2=33.5,'S3'!AJ6))))))))))))</f>
        <v>5.89</v>
      </c>
      <c r="F6" s="74">
        <f t="shared" ref="F6:F69" si="1">ROUND(E6*1.4,2)</f>
        <v>8.25</v>
      </c>
      <c r="H6" s="22" t="s">
        <v>76</v>
      </c>
      <c r="I6" s="23" t="s">
        <v>77</v>
      </c>
      <c r="J6" s="97">
        <v>9.09</v>
      </c>
      <c r="K6" s="98">
        <v>9.4600000000000009</v>
      </c>
      <c r="L6" s="97">
        <v>9.18</v>
      </c>
      <c r="M6" s="98">
        <v>9.5500000000000007</v>
      </c>
      <c r="N6" s="97">
        <v>9.26</v>
      </c>
      <c r="O6" s="98">
        <v>9.6300000000000008</v>
      </c>
      <c r="P6" s="1235">
        <v>9.34</v>
      </c>
      <c r="Q6" s="1236">
        <v>9.7100000000000009</v>
      </c>
      <c r="R6" s="1235">
        <v>9.42</v>
      </c>
      <c r="S6" s="1236">
        <v>9.7899999999999991</v>
      </c>
      <c r="T6" s="1235">
        <v>9.51</v>
      </c>
      <c r="U6" s="1236">
        <v>9.8800000000000008</v>
      </c>
      <c r="V6" s="1235">
        <v>9.59</v>
      </c>
      <c r="W6" s="1236">
        <v>9.9600000000000009</v>
      </c>
      <c r="X6" s="1235">
        <v>9.67</v>
      </c>
      <c r="Y6" s="1236">
        <v>10.039999999999999</v>
      </c>
      <c r="Z6" s="1236">
        <v>9.76</v>
      </c>
      <c r="AA6" s="1236">
        <v>10.130000000000001</v>
      </c>
      <c r="AB6" s="1236">
        <v>9.84</v>
      </c>
      <c r="AC6" s="1236">
        <v>10.210000000000001</v>
      </c>
      <c r="AD6" s="1237">
        <v>9.92</v>
      </c>
      <c r="AE6" s="1237">
        <v>10.29</v>
      </c>
      <c r="AF6" s="1237">
        <v>10</v>
      </c>
      <c r="AG6" s="1237">
        <v>10.37</v>
      </c>
      <c r="AH6" s="1237">
        <v>10.09</v>
      </c>
      <c r="AI6" s="1237">
        <v>10.46</v>
      </c>
      <c r="AJ6" s="1237">
        <v>10.17</v>
      </c>
      <c r="AK6" s="1237">
        <v>10.54</v>
      </c>
      <c r="AL6" s="1238">
        <v>10.25</v>
      </c>
      <c r="AM6" s="1238">
        <v>10.62</v>
      </c>
      <c r="AN6" s="1238">
        <v>10.34</v>
      </c>
      <c r="AO6" s="1238">
        <v>10.71</v>
      </c>
      <c r="AP6" s="1238">
        <v>10.42</v>
      </c>
      <c r="AQ6" s="1238">
        <v>10.79</v>
      </c>
      <c r="AR6" s="1238">
        <v>10.5</v>
      </c>
      <c r="AS6" s="1238">
        <v>10.87</v>
      </c>
      <c r="AT6" s="1238">
        <v>9.01</v>
      </c>
      <c r="AU6" s="1238">
        <v>9.3800000000000008</v>
      </c>
      <c r="AV6" s="1238">
        <v>8.93</v>
      </c>
      <c r="AW6" s="1238">
        <v>9.3000000000000007</v>
      </c>
      <c r="AX6" s="1238">
        <v>6.74</v>
      </c>
      <c r="AY6" s="1238">
        <v>6.99</v>
      </c>
      <c r="AZ6" s="1238">
        <v>6.66</v>
      </c>
      <c r="BA6" s="1238">
        <v>6.91</v>
      </c>
      <c r="BB6" s="1238">
        <v>6.57</v>
      </c>
      <c r="BC6" s="1238">
        <v>6.83</v>
      </c>
      <c r="BD6" s="150">
        <f t="shared" si="0"/>
        <v>9.76</v>
      </c>
      <c r="BE6" s="150">
        <f t="shared" si="0"/>
        <v>10.130000000000001</v>
      </c>
      <c r="BF6" s="92">
        <f>IF('1.ข้อมูล'!$Q$16=0,BD6,IF('1.ข้อมูล'!$Q$16=1,BE6,IF('1.ข้อมูล'!$Q$16=2,BE6,)))</f>
        <v>9.76</v>
      </c>
      <c r="BI6" s="42"/>
      <c r="BJ6" s="34" t="s">
        <v>65</v>
      </c>
      <c r="BK6" s="34"/>
      <c r="BL6" s="34"/>
      <c r="BM6" s="34">
        <f>'1.ข้อมูล'!Q12</f>
        <v>0</v>
      </c>
      <c r="BN6" s="34" t="s">
        <v>59</v>
      </c>
      <c r="BO6" s="34"/>
      <c r="BP6" s="34"/>
      <c r="BQ6" s="34"/>
    </row>
    <row r="7" spans="2:74" ht="22.5" thickBot="1">
      <c r="B7" s="148">
        <v>3</v>
      </c>
      <c r="C7" s="74">
        <f>IF($C$2=22.5,'S3'!A7,IF($C$2=23.5,'S3'!B7,IF($C$2=24.5,'S3'!C7,IF($C$2=25.5,'S3'!D7,IF($C$2=26.5,'S3'!E7,IF($C$2=27.5,'S3'!F7,IF($C$2=28.5,'S3'!G7,IF($C$2=29.5,'S3'!H7,IF($C$2=30.5,'S3'!I7,IF($C$2=31.5,'S3'!J7,IF($C$2=32.5,'S3'!K7,IF($C$2=33.5,'S3'!L7))))))))))))</f>
        <v>11.81</v>
      </c>
      <c r="D7" s="74">
        <f t="shared" ref="D7:D70" si="2">ROUND(C7*1.4,2)</f>
        <v>16.53</v>
      </c>
      <c r="E7" s="74">
        <f>IF($E$2=22.5,'S3'!Y7,IF($E$2=23.5,'S3'!Z7,IF($E$2=24.5,'S3'!AA7,IF($E$2=25.5,'S3'!AB7,IF($E$2=26.5,'S3'!AC7,IF($E$2=27.5,'S3'!AD7,IF($E$2=28.5,'S3'!AE7,IF($E$2=29.5,'S3'!AF7,IF($E$2=30.5,'S3'!AG7,IF($E$2=31.5,'S3'!AH7,IF($E$2=32.5,'S3'!AI7,IF($E$2=33.5,'S3'!AJ7))))))))))))</f>
        <v>7.27</v>
      </c>
      <c r="F7" s="74">
        <f t="shared" si="1"/>
        <v>10.18</v>
      </c>
      <c r="H7" s="24" t="s">
        <v>78</v>
      </c>
      <c r="I7" s="23" t="s">
        <v>77</v>
      </c>
      <c r="J7" s="97">
        <v>50.8</v>
      </c>
      <c r="K7" s="98">
        <v>54.04</v>
      </c>
      <c r="L7" s="97">
        <v>51.34</v>
      </c>
      <c r="M7" s="98">
        <v>54.58</v>
      </c>
      <c r="N7" s="97">
        <v>51.88</v>
      </c>
      <c r="O7" s="98">
        <v>55.12</v>
      </c>
      <c r="P7" s="1235">
        <v>54.42</v>
      </c>
      <c r="Q7" s="1236">
        <v>55.66</v>
      </c>
      <c r="R7" s="1235">
        <v>52.96</v>
      </c>
      <c r="S7" s="1236">
        <v>56.2</v>
      </c>
      <c r="T7" s="1235">
        <v>53.5</v>
      </c>
      <c r="U7" s="1236">
        <v>56.74</v>
      </c>
      <c r="V7" s="1235">
        <v>54.04</v>
      </c>
      <c r="W7" s="1236">
        <v>52.28</v>
      </c>
      <c r="X7" s="1235">
        <v>54.58</v>
      </c>
      <c r="Y7" s="1236">
        <v>57.82</v>
      </c>
      <c r="Z7" s="1236">
        <v>55.12</v>
      </c>
      <c r="AA7" s="1236">
        <v>58.36</v>
      </c>
      <c r="AB7" s="1236">
        <v>55.66</v>
      </c>
      <c r="AC7" s="1236">
        <v>58.9</v>
      </c>
      <c r="AD7" s="1237">
        <v>56.21</v>
      </c>
      <c r="AE7" s="1237">
        <v>59.45</v>
      </c>
      <c r="AF7" s="1237">
        <v>56.75</v>
      </c>
      <c r="AG7" s="1237">
        <v>59.99</v>
      </c>
      <c r="AH7" s="1237">
        <v>57.29</v>
      </c>
      <c r="AI7" s="1237">
        <v>60.53</v>
      </c>
      <c r="AJ7" s="1237">
        <v>57.83</v>
      </c>
      <c r="AK7" s="1237">
        <v>61.07</v>
      </c>
      <c r="AL7" s="1238">
        <v>58.37</v>
      </c>
      <c r="AM7" s="1238">
        <v>61.61</v>
      </c>
      <c r="AN7" s="1238">
        <v>58.91</v>
      </c>
      <c r="AO7" s="1238">
        <v>62.15</v>
      </c>
      <c r="AP7" s="1238">
        <v>59.45</v>
      </c>
      <c r="AQ7" s="1238">
        <v>62.69</v>
      </c>
      <c r="AR7" s="1238">
        <v>59.99</v>
      </c>
      <c r="AS7" s="1238">
        <v>63.23</v>
      </c>
      <c r="AT7" s="1238">
        <v>50.25</v>
      </c>
      <c r="AU7" s="1238">
        <v>53.49</v>
      </c>
      <c r="AV7" s="1238">
        <v>49.71</v>
      </c>
      <c r="AW7" s="1238">
        <v>52.95</v>
      </c>
      <c r="AX7" s="1238">
        <v>37.78</v>
      </c>
      <c r="AY7" s="1238">
        <v>40.15</v>
      </c>
      <c r="AZ7" s="1238">
        <v>37.24</v>
      </c>
      <c r="BA7" s="1238">
        <v>39.61</v>
      </c>
      <c r="BB7" s="1238">
        <v>36.700000000000003</v>
      </c>
      <c r="BC7" s="1238">
        <v>39.07</v>
      </c>
      <c r="BD7" s="150">
        <f t="shared" si="0"/>
        <v>55.12</v>
      </c>
      <c r="BE7" s="150">
        <f t="shared" si="0"/>
        <v>58.36</v>
      </c>
      <c r="BF7" s="92">
        <f>IF('1.ข้อมูล'!$Q$16=0,BD7,IF('1.ข้อมูล'!$Q$16=1,BE7,IF('1.ข้อมูล'!$Q$16=2,BE7,)))</f>
        <v>55.12</v>
      </c>
      <c r="BI7" s="42"/>
      <c r="BJ7" s="44" t="s">
        <v>98</v>
      </c>
      <c r="BK7"/>
      <c r="BL7" s="44"/>
      <c r="BM7" s="8">
        <v>3</v>
      </c>
      <c r="BN7" s="44" t="s">
        <v>99</v>
      </c>
      <c r="BO7" s="34"/>
      <c r="BP7" s="34"/>
      <c r="BQ7" s="34"/>
    </row>
    <row r="8" spans="2:74">
      <c r="B8" s="148">
        <v>4</v>
      </c>
      <c r="C8" s="74">
        <f>IF($C$2=22.5,'S3'!A8,IF($C$2=23.5,'S3'!B8,IF($C$2=24.5,'S3'!C8,IF($C$2=25.5,'S3'!D8,IF($C$2=26.5,'S3'!E8,IF($C$2=27.5,'S3'!F8,IF($C$2=28.5,'S3'!G8,IF($C$2=29.5,'S3'!H8,IF($C$2=30.5,'S3'!I8,IF($C$2=31.5,'S3'!J8,IF($C$2=32.5,'S3'!K8,IF($C$2=33.5,'S3'!L8))))))))))))</f>
        <v>13.64</v>
      </c>
      <c r="D8" s="74">
        <f t="shared" si="2"/>
        <v>19.100000000000001</v>
      </c>
      <c r="E8" s="74">
        <f>IF($E$2=22.5,'S3'!Y8,IF($E$2=23.5,'S3'!Z8,IF($E$2=24.5,'S3'!AA8,IF($E$2=25.5,'S3'!AB8,IF($E$2=26.5,'S3'!AC8,IF($E$2=27.5,'S3'!AD8,IF($E$2=28.5,'S3'!AE8,IF($E$2=29.5,'S3'!AF8,IF($E$2=30.5,'S3'!AG8,IF($E$2=31.5,'S3'!AH8,IF($E$2=32.5,'S3'!AI8,IF($E$2=33.5,'S3'!AJ8))))))))))))</f>
        <v>8.66</v>
      </c>
      <c r="F8" s="74">
        <f t="shared" si="1"/>
        <v>12.12</v>
      </c>
      <c r="H8" s="25" t="s">
        <v>79</v>
      </c>
      <c r="I8" s="26"/>
      <c r="J8" s="99"/>
      <c r="K8" s="99"/>
      <c r="L8" s="99"/>
      <c r="M8" s="99"/>
      <c r="N8" s="99"/>
      <c r="O8" s="99"/>
      <c r="P8" s="1239"/>
      <c r="Q8" s="1239"/>
      <c r="R8" s="1239"/>
      <c r="S8" s="1239"/>
      <c r="T8" s="1239"/>
      <c r="U8" s="1239"/>
      <c r="V8" s="1239"/>
      <c r="W8" s="1239"/>
      <c r="X8" s="1239"/>
      <c r="Y8" s="1239"/>
      <c r="Z8" s="1239"/>
      <c r="AA8" s="1239"/>
      <c r="AB8" s="1239"/>
      <c r="AC8" s="1239"/>
      <c r="AD8" s="1240"/>
      <c r="AE8" s="1240"/>
      <c r="AF8" s="1240"/>
      <c r="AG8" s="1240"/>
      <c r="AH8" s="1240"/>
      <c r="AI8" s="1240"/>
      <c r="AJ8" s="1240"/>
      <c r="AK8" s="1240"/>
      <c r="AL8" s="1241"/>
      <c r="AM8" s="1241"/>
      <c r="AN8" s="1241"/>
      <c r="AO8" s="1241"/>
      <c r="AP8" s="1241"/>
      <c r="AQ8" s="1241"/>
      <c r="AR8" s="1241"/>
      <c r="AS8" s="1241"/>
      <c r="AT8" s="1241"/>
      <c r="AU8" s="1241"/>
      <c r="AV8" s="1241"/>
      <c r="AW8" s="1241"/>
      <c r="AX8" s="1241"/>
      <c r="AY8" s="1241"/>
      <c r="AZ8" s="1241"/>
      <c r="BA8" s="1241"/>
      <c r="BB8" s="1241"/>
      <c r="BC8" s="1241"/>
      <c r="BD8" s="9"/>
      <c r="BE8" s="9"/>
      <c r="BF8" s="9"/>
      <c r="BI8" s="45" t="s">
        <v>100</v>
      </c>
      <c r="BJ8" s="85" t="s">
        <v>100</v>
      </c>
      <c r="BK8" s="57" t="s">
        <v>100</v>
      </c>
      <c r="BL8" s="45" t="s">
        <v>101</v>
      </c>
      <c r="BM8" s="4" t="s">
        <v>102</v>
      </c>
      <c r="BN8" s="4" t="s">
        <v>103</v>
      </c>
      <c r="BO8" s="4" t="s">
        <v>104</v>
      </c>
      <c r="BP8" s="4" t="s">
        <v>105</v>
      </c>
      <c r="BQ8" s="4" t="s">
        <v>106</v>
      </c>
      <c r="BR8" s="4" t="s">
        <v>107</v>
      </c>
      <c r="BS8" s="85" t="s">
        <v>2</v>
      </c>
      <c r="BT8" s="85" t="s">
        <v>157</v>
      </c>
      <c r="BU8" s="5" t="s">
        <v>158</v>
      </c>
    </row>
    <row r="9" spans="2:74" ht="21" thickBot="1">
      <c r="B9" s="148">
        <v>5</v>
      </c>
      <c r="C9" s="74">
        <f>IF($C$2=22.5,'S3'!A9,IF($C$2=23.5,'S3'!B9,IF($C$2=24.5,'S3'!C9,IF($C$2=25.5,'S3'!D9,IF($C$2=26.5,'S3'!E9,IF($C$2=27.5,'S3'!F9,IF($C$2=28.5,'S3'!G9,IF($C$2=29.5,'S3'!H9,IF($C$2=30.5,'S3'!I9,IF($C$2=31.5,'S3'!J9,IF($C$2=32.5,'S3'!K9,IF($C$2=33.5,'S3'!L9))))))))))))</f>
        <v>15.47</v>
      </c>
      <c r="D9" s="74">
        <f t="shared" si="2"/>
        <v>21.66</v>
      </c>
      <c r="E9" s="74">
        <f>IF($E$2=22.5,'S3'!Y9,IF($E$2=23.5,'S3'!Z9,IF($E$2=24.5,'S3'!AA9,IF($E$2=25.5,'S3'!AB9,IF($E$2=26.5,'S3'!AC9,IF($E$2=27.5,'S3'!AD9,IF($E$2=28.5,'S3'!AE9,IF($E$2=29.5,'S3'!AF9,IF($E$2=30.5,'S3'!AG9,IF($E$2=31.5,'S3'!AH9,IF($E$2=32.5,'S3'!AI9,IF($E$2=33.5,'S3'!AJ9))))))))))))</f>
        <v>10.039999999999999</v>
      </c>
      <c r="F9" s="74">
        <f t="shared" si="1"/>
        <v>14.06</v>
      </c>
      <c r="H9" s="24" t="s">
        <v>80</v>
      </c>
      <c r="I9" s="23" t="s">
        <v>77</v>
      </c>
      <c r="J9" s="97">
        <v>23.57</v>
      </c>
      <c r="K9" s="98">
        <v>24.62</v>
      </c>
      <c r="L9" s="97">
        <v>23.71</v>
      </c>
      <c r="M9" s="98">
        <v>24.76</v>
      </c>
      <c r="N9" s="97">
        <v>23.85</v>
      </c>
      <c r="O9" s="98">
        <v>24.9</v>
      </c>
      <c r="P9" s="1235">
        <v>24</v>
      </c>
      <c r="Q9" s="1236">
        <v>25.05</v>
      </c>
      <c r="R9" s="1235">
        <v>24.14</v>
      </c>
      <c r="S9" s="1236">
        <v>25.19</v>
      </c>
      <c r="T9" s="1235">
        <v>24.28</v>
      </c>
      <c r="U9" s="1236">
        <v>25.33</v>
      </c>
      <c r="V9" s="1235">
        <v>24.42</v>
      </c>
      <c r="W9" s="1236">
        <v>25.47</v>
      </c>
      <c r="X9" s="1235">
        <v>24.57</v>
      </c>
      <c r="Y9" s="1236">
        <v>25.62</v>
      </c>
      <c r="Z9" s="1236">
        <v>24.71</v>
      </c>
      <c r="AA9" s="1236">
        <v>25.76</v>
      </c>
      <c r="AB9" s="1236">
        <v>24.85</v>
      </c>
      <c r="AC9" s="1236">
        <v>25.9</v>
      </c>
      <c r="AD9" s="1237">
        <v>25</v>
      </c>
      <c r="AE9" s="1237">
        <v>26.05</v>
      </c>
      <c r="AF9" s="1237">
        <v>25.14</v>
      </c>
      <c r="AG9" s="1237">
        <v>26.19</v>
      </c>
      <c r="AH9" s="1237">
        <v>25.28</v>
      </c>
      <c r="AI9" s="1237">
        <v>26.33</v>
      </c>
      <c r="AJ9" s="1237">
        <v>25.42</v>
      </c>
      <c r="AK9" s="1237">
        <v>26.47</v>
      </c>
      <c r="AL9" s="1238">
        <v>25.57</v>
      </c>
      <c r="AM9" s="1238">
        <v>26.62</v>
      </c>
      <c r="AN9" s="1238">
        <v>25.71</v>
      </c>
      <c r="AO9" s="1238">
        <v>26.76</v>
      </c>
      <c r="AP9" s="1238">
        <v>25.85</v>
      </c>
      <c r="AQ9" s="1238">
        <v>26.9</v>
      </c>
      <c r="AR9" s="1238">
        <v>26</v>
      </c>
      <c r="AS9" s="1238">
        <v>27.05</v>
      </c>
      <c r="AT9" s="1238">
        <v>23.43</v>
      </c>
      <c r="AU9" s="1238">
        <v>24.48</v>
      </c>
      <c r="AV9" s="1238">
        <v>23.28</v>
      </c>
      <c r="AW9" s="1238">
        <v>24.33</v>
      </c>
      <c r="AX9" s="1238">
        <v>15.87</v>
      </c>
      <c r="AY9" s="1238">
        <v>16.600000000000001</v>
      </c>
      <c r="AZ9" s="1238">
        <v>15.73</v>
      </c>
      <c r="BA9" s="1238">
        <v>16.46</v>
      </c>
      <c r="BB9" s="1238">
        <v>15.59</v>
      </c>
      <c r="BC9" s="1238">
        <v>16.32</v>
      </c>
      <c r="BD9" s="150">
        <f>IF($C$2=22.5,J9,IF($C$2=23.5,L9,IF($C$2=24.5,N9,IF($C$2=25.5,P9,IF($C$2=26.5,R9,IF($C$2=27.5,T9,IF($C$2=28.5,V9,IF($C$2=29.5,X9,IF($C$2=30.5,Z9,IF($C$2=31.5,AB9,IF($C$2=32.5,AD9,IF($C$2=33.5,AF9))))))))))))</f>
        <v>24.71</v>
      </c>
      <c r="BE9" s="150">
        <f>IF($C$2=22.5,K9,IF($C$2=23.5,M9,IF($C$2=24.5,O9,IF($C$2=25.5,Q9,IF($C$2=26.5,S9,IF($C$2=27.5,U9,IF($C$2=28.5,W9,IF($C$2=29.5,Y9,IF($C$2=30.5,AA9,IF($C$2=31.5,AC9,IF($C$2=32.5,AE9,IF($C$2=33.5,AG9))))))))))))</f>
        <v>25.76</v>
      </c>
      <c r="BF9" s="92">
        <f>IF('1.ข้อมูล'!$Q$16=0,BD9,IF('1.ข้อมูล'!$Q$16=1,BE9,IF('1.ข้อมูล'!$Q$16=2,BE9,)))</f>
        <v>24.71</v>
      </c>
      <c r="BI9" s="46" t="s">
        <v>72</v>
      </c>
      <c r="BJ9" s="115" t="s">
        <v>147</v>
      </c>
      <c r="BK9" s="116" t="s">
        <v>148</v>
      </c>
      <c r="BL9" s="46" t="s">
        <v>108</v>
      </c>
      <c r="BM9" s="7" t="s">
        <v>109</v>
      </c>
      <c r="BN9" s="7" t="s">
        <v>110</v>
      </c>
      <c r="BO9" s="7" t="s">
        <v>111</v>
      </c>
      <c r="BP9" s="7"/>
      <c r="BQ9" s="7" t="s">
        <v>112</v>
      </c>
      <c r="BR9" s="47">
        <v>7</v>
      </c>
      <c r="BS9" s="86" t="s">
        <v>113</v>
      </c>
      <c r="BT9" s="88" t="s">
        <v>147</v>
      </c>
      <c r="BU9" s="84" t="s">
        <v>149</v>
      </c>
    </row>
    <row r="10" spans="2:74">
      <c r="B10" s="148">
        <v>6</v>
      </c>
      <c r="C10" s="74">
        <f>IF($C$2=22.5,'S3'!A10,IF($C$2=23.5,'S3'!B10,IF($C$2=24.5,'S3'!C10,IF($C$2=25.5,'S3'!D10,IF($C$2=26.5,'S3'!E10,IF($C$2=27.5,'S3'!F10,IF($C$2=28.5,'S3'!G10,IF($C$2=29.5,'S3'!H10,IF($C$2=30.5,'S3'!I10,IF($C$2=31.5,'S3'!J10,IF($C$2=32.5,'S3'!K10,IF($C$2=33.5,'S3'!L10))))))))))))</f>
        <v>17.309999999999999</v>
      </c>
      <c r="D10" s="74">
        <f t="shared" si="2"/>
        <v>24.23</v>
      </c>
      <c r="E10" s="74">
        <f>IF($E$2=22.5,'S3'!Y10,IF($E$2=23.5,'S3'!Z10,IF($E$2=24.5,'S3'!AA10,IF($E$2=25.5,'S3'!AB10,IF($E$2=26.5,'S3'!AC10,IF($E$2=27.5,'S3'!AD10,IF($E$2=28.5,'S3'!AE10,IF($E$2=29.5,'S3'!AF10,IF($E$2=30.5,'S3'!AG10,IF($E$2=31.5,'S3'!AH10,IF($E$2=32.5,'S3'!AI10,IF($E$2=33.5,'S3'!AJ10))))))))))))</f>
        <v>11.43</v>
      </c>
      <c r="F10" s="74">
        <f t="shared" si="1"/>
        <v>16</v>
      </c>
      <c r="H10" s="24" t="s">
        <v>78</v>
      </c>
      <c r="I10" s="23" t="s">
        <v>77</v>
      </c>
      <c r="J10" s="97">
        <v>81.11</v>
      </c>
      <c r="K10" s="98">
        <v>87.54</v>
      </c>
      <c r="L10" s="97">
        <v>81.88</v>
      </c>
      <c r="M10" s="98">
        <v>88.31</v>
      </c>
      <c r="N10" s="97">
        <v>82.66</v>
      </c>
      <c r="O10" s="98">
        <v>89.09</v>
      </c>
      <c r="P10" s="1235">
        <v>83.44</v>
      </c>
      <c r="Q10" s="1236">
        <v>89.87</v>
      </c>
      <c r="R10" s="1235">
        <v>84.22</v>
      </c>
      <c r="S10" s="1236">
        <v>90.65</v>
      </c>
      <c r="T10" s="1235">
        <v>84.99</v>
      </c>
      <c r="U10" s="1236">
        <v>91.42</v>
      </c>
      <c r="V10" s="1235">
        <v>85.77</v>
      </c>
      <c r="W10" s="1236">
        <v>92.2</v>
      </c>
      <c r="X10" s="1235">
        <v>86.55</v>
      </c>
      <c r="Y10" s="1236">
        <v>92.98</v>
      </c>
      <c r="Z10" s="1236">
        <v>87.32</v>
      </c>
      <c r="AA10" s="1236">
        <v>93.75</v>
      </c>
      <c r="AB10" s="1236">
        <v>88.1</v>
      </c>
      <c r="AC10" s="1236">
        <v>94.53</v>
      </c>
      <c r="AD10" s="1237">
        <v>88.88</v>
      </c>
      <c r="AE10" s="1237">
        <v>95.31</v>
      </c>
      <c r="AF10" s="1237">
        <v>89.66</v>
      </c>
      <c r="AG10" s="1237">
        <v>96.09</v>
      </c>
      <c r="AH10" s="1237">
        <v>90.43</v>
      </c>
      <c r="AI10" s="1237">
        <v>96.86</v>
      </c>
      <c r="AJ10" s="1237">
        <v>91.21</v>
      </c>
      <c r="AK10" s="1237">
        <v>97.64</v>
      </c>
      <c r="AL10" s="1238">
        <v>91.99</v>
      </c>
      <c r="AM10" s="1238">
        <v>98.42</v>
      </c>
      <c r="AN10" s="1238">
        <v>92.77</v>
      </c>
      <c r="AO10" s="1238">
        <v>99.2</v>
      </c>
      <c r="AP10" s="1238">
        <v>93.54</v>
      </c>
      <c r="AQ10" s="1238">
        <v>99.97</v>
      </c>
      <c r="AR10" s="1238">
        <v>94.32</v>
      </c>
      <c r="AS10" s="1238">
        <v>100.75</v>
      </c>
      <c r="AT10" s="1238">
        <v>80.33</v>
      </c>
      <c r="AU10" s="1238">
        <v>86.76</v>
      </c>
      <c r="AV10" s="1238">
        <v>79.55</v>
      </c>
      <c r="AW10" s="1238">
        <v>85.98</v>
      </c>
      <c r="AX10" s="1238">
        <v>60.35</v>
      </c>
      <c r="AY10" s="1238">
        <v>65.13</v>
      </c>
      <c r="AZ10" s="1238">
        <v>64.349999999999994</v>
      </c>
      <c r="BA10" s="1238">
        <v>64.349999999999994</v>
      </c>
      <c r="BB10" s="1238">
        <v>58.8</v>
      </c>
      <c r="BC10" s="1238">
        <v>63.57</v>
      </c>
      <c r="BD10" s="150">
        <f>IF($C$2=22.5,J10,IF($C$2=23.5,L10,IF($C$2=24.5,N10,IF($C$2=25.5,P10,IF($C$2=26.5,R10,IF($C$2=27.5,T10,IF($C$2=28.5,V10,IF($C$2=29.5,X10,IF($C$2=30.5,Z10,IF($C$2=31.5,AB10,IF($C$2=32.5,AD10,IF($C$2=33.5,AF10))))))))))))</f>
        <v>87.32</v>
      </c>
      <c r="BE10" s="150">
        <f>IF($C$2=22.5,K10,IF($C$2=23.5,M10,IF($C$2=24.5,O10,IF($C$2=25.5,Q10,IF($C$2=26.5,S10,IF($C$2=27.5,U10,IF($C$2=28.5,W10,IF($C$2=29.5,Y10,IF($C$2=30.5,AA10,IF($C$2=31.5,AC10,IF($C$2=32.5,AE10,IF($C$2=33.5,AG10))))))))))))</f>
        <v>93.75</v>
      </c>
      <c r="BF10" s="92">
        <f>IF('1.ข้อมูล'!$Q$16=0,BD10,IF('1.ข้อมูล'!$Q$16=1,BE10,IF('1.ข้อมูล'!$Q$16=2,BE10,)))</f>
        <v>87.32</v>
      </c>
      <c r="BI10" s="48">
        <f>'[5]4.ปร.5  (2)'!N17</f>
        <v>3186066.9999999991</v>
      </c>
      <c r="BJ10" s="33"/>
      <c r="BK10" s="117"/>
      <c r="BL10" s="48">
        <v>5</v>
      </c>
      <c r="BM10" s="49">
        <v>6</v>
      </c>
      <c r="BN10" s="90">
        <v>20.834</v>
      </c>
      <c r="BO10" s="51">
        <f>-BM3/12*(BM6/100+(BM10+BM7-1)*BM4/100-(BM4+BM6)/100*(BM10+1)/2-(BM7-1))</f>
        <v>0.83333333333333337</v>
      </c>
      <c r="BP10" s="51">
        <v>5.5</v>
      </c>
      <c r="BQ10" s="50">
        <f>1+( BN10+BO10+BP10)/100</f>
        <v>1.2716733333333332</v>
      </c>
      <c r="BR10" s="132">
        <f>BR9/100+1</f>
        <v>1.07</v>
      </c>
      <c r="BS10" s="87">
        <f>BQ10*BR10</f>
        <v>1.3606904666666666</v>
      </c>
      <c r="BT10" s="1366">
        <v>1.3794999999999999</v>
      </c>
      <c r="BU10" s="1367">
        <v>1.3984000000000001</v>
      </c>
      <c r="BV10" s="137"/>
    </row>
    <row r="11" spans="2:74">
      <c r="B11" s="148">
        <v>7</v>
      </c>
      <c r="C11" s="74">
        <f>IF($C$2=22.5,'S3'!A11,IF($C$2=23.5,'S3'!B11,IF($C$2=24.5,'S3'!C11,IF($C$2=25.5,'S3'!D11,IF($C$2=26.5,'S3'!E11,IF($C$2=27.5,'S3'!F11,IF($C$2=28.5,'S3'!G11,IF($C$2=29.5,'S3'!H11,IF($C$2=30.5,'S3'!I11,IF($C$2=31.5,'S3'!J11,IF($C$2=32.5,'S3'!K11,IF($C$2=33.5,'S3'!L11))))))))))))</f>
        <v>19.14</v>
      </c>
      <c r="D11" s="74">
        <f t="shared" si="2"/>
        <v>26.8</v>
      </c>
      <c r="E11" s="74">
        <f>IF($E$2=22.5,'S3'!Y11,IF($E$2=23.5,'S3'!Z11,IF($E$2=24.5,'S3'!AA11,IF($E$2=25.5,'S3'!AB11,IF($E$2=26.5,'S3'!AC11,IF($E$2=27.5,'S3'!AD11,IF($E$2=28.5,'S3'!AE11,IF($E$2=29.5,'S3'!AF11,IF($E$2=30.5,'S3'!AG11,IF($E$2=31.5,'S3'!AH11,IF($E$2=32.5,'S3'!AI11,IF($E$2=33.5,'S3'!AJ11))))))))))))</f>
        <v>12.81</v>
      </c>
      <c r="F11" s="74">
        <f t="shared" si="1"/>
        <v>17.93</v>
      </c>
      <c r="H11" s="25" t="s">
        <v>81</v>
      </c>
      <c r="I11" s="26"/>
      <c r="J11" s="97"/>
      <c r="K11" s="98"/>
      <c r="L11" s="97"/>
      <c r="M11" s="98"/>
      <c r="N11" s="97"/>
      <c r="O11" s="98"/>
      <c r="P11" s="1235"/>
      <c r="Q11" s="1236"/>
      <c r="R11" s="1235"/>
      <c r="S11" s="1236"/>
      <c r="T11" s="1235"/>
      <c r="U11" s="1236"/>
      <c r="V11" s="1235"/>
      <c r="W11" s="1236"/>
      <c r="X11" s="1235"/>
      <c r="Y11" s="1236"/>
      <c r="Z11" s="1236"/>
      <c r="AA11" s="1236"/>
      <c r="AB11" s="1236"/>
      <c r="AC11" s="1236"/>
      <c r="AD11" s="1237"/>
      <c r="AE11" s="1237"/>
      <c r="AF11" s="1237"/>
      <c r="AG11" s="1237"/>
      <c r="AH11" s="1237"/>
      <c r="AI11" s="1237"/>
      <c r="AJ11" s="1237"/>
      <c r="AK11" s="1237"/>
      <c r="AL11" s="1238"/>
      <c r="AM11" s="1238"/>
      <c r="AN11" s="1238"/>
      <c r="AO11" s="1238"/>
      <c r="AP11" s="1238"/>
      <c r="AQ11" s="1238"/>
      <c r="AR11" s="1238"/>
      <c r="AS11" s="1238"/>
      <c r="AT11" s="1238"/>
      <c r="AU11" s="1238"/>
      <c r="AV11" s="1238"/>
      <c r="AW11" s="1238"/>
      <c r="AX11" s="1238"/>
      <c r="AY11" s="1238"/>
      <c r="AZ11" s="1238"/>
      <c r="BA11" s="1238"/>
      <c r="BB11" s="1238"/>
      <c r="BC11" s="1238"/>
      <c r="BD11" s="150"/>
      <c r="BE11" s="31"/>
      <c r="BF11" s="32"/>
      <c r="BI11" s="118">
        <f>BI10/1000000</f>
        <v>3.1860669999999991</v>
      </c>
      <c r="BJ11" s="33"/>
      <c r="BK11" s="117"/>
      <c r="BL11" s="48">
        <v>10</v>
      </c>
      <c r="BM11" s="49">
        <v>9</v>
      </c>
      <c r="BN11" s="90">
        <v>16.0809</v>
      </c>
      <c r="BO11" s="52">
        <f>-BM3/12*(BM6/100+(BM11+BM7-1)*BM4/100-(BM4+BM6)/100*(BM11+1)/2-(BM7-1))</f>
        <v>0.83333333333333337</v>
      </c>
      <c r="BP11" s="53">
        <v>5.5</v>
      </c>
      <c r="BQ11" s="50">
        <f>1+( BN11+BO11+BP11)/100</f>
        <v>1.2241423333333334</v>
      </c>
      <c r="BR11" s="132">
        <f>BR9/100+1</f>
        <v>1.07</v>
      </c>
      <c r="BS11" s="87">
        <f t="shared" ref="BS11:BS20" si="3">BQ11*BR11</f>
        <v>1.3098322966666669</v>
      </c>
      <c r="BT11" s="1368">
        <v>1.3291999999999999</v>
      </c>
      <c r="BU11" s="1369">
        <v>1.3486</v>
      </c>
      <c r="BV11" s="137"/>
    </row>
    <row r="12" spans="2:74">
      <c r="B12" s="148">
        <v>8</v>
      </c>
      <c r="C12" s="74">
        <f>IF($C$2=22.5,'S3'!A12,IF($C$2=23.5,'S3'!B12,IF($C$2=24.5,'S3'!C12,IF($C$2=25.5,'S3'!D12,IF($C$2=26.5,'S3'!E12,IF($C$2=27.5,'S3'!F12,IF($C$2=28.5,'S3'!G12,IF($C$2=29.5,'S3'!H12,IF($C$2=30.5,'S3'!I12,IF($C$2=31.5,'S3'!J12,IF($C$2=32.5,'S3'!K12,IF($C$2=33.5,'S3'!L12))))))))))))</f>
        <v>21.21</v>
      </c>
      <c r="D12" s="74">
        <f t="shared" si="2"/>
        <v>29.69</v>
      </c>
      <c r="E12" s="74">
        <f>IF($E$2=22.5,'S3'!Y12,IF($E$2=23.5,'S3'!Z12,IF($E$2=24.5,'S3'!AA12,IF($E$2=25.5,'S3'!AB12,IF($E$2=26.5,'S3'!AC12,IF($E$2=27.5,'S3'!AD12,IF($E$2=28.5,'S3'!AE12,IF($E$2=29.5,'S3'!AF12,IF($E$2=30.5,'S3'!AG12,IF($E$2=31.5,'S3'!AH12,IF($E$2=32.5,'S3'!AI12,IF($E$2=33.5,'S3'!AJ12))))))))))))</f>
        <v>14.2</v>
      </c>
      <c r="F12" s="74">
        <f t="shared" si="1"/>
        <v>19.88</v>
      </c>
      <c r="H12" s="24" t="s">
        <v>82</v>
      </c>
      <c r="I12" s="27" t="s">
        <v>26</v>
      </c>
      <c r="J12" s="97">
        <v>10.130000000000001</v>
      </c>
      <c r="K12" s="98">
        <v>10.66</v>
      </c>
      <c r="L12" s="97">
        <v>10.23</v>
      </c>
      <c r="M12" s="98">
        <v>10.76</v>
      </c>
      <c r="N12" s="97">
        <v>10.33</v>
      </c>
      <c r="O12" s="98">
        <v>10.86</v>
      </c>
      <c r="P12" s="1235">
        <v>10.43</v>
      </c>
      <c r="Q12" s="1236">
        <v>10.96</v>
      </c>
      <c r="R12" s="1235">
        <v>10.53</v>
      </c>
      <c r="S12" s="1236">
        <v>11.06</v>
      </c>
      <c r="T12" s="1235">
        <v>10.63</v>
      </c>
      <c r="U12" s="1236">
        <v>11.16</v>
      </c>
      <c r="V12" s="1235">
        <v>10.74</v>
      </c>
      <c r="W12" s="1236">
        <v>11.27</v>
      </c>
      <c r="X12" s="1235">
        <v>10.84</v>
      </c>
      <c r="Y12" s="1236">
        <v>11.37</v>
      </c>
      <c r="Z12" s="1236">
        <v>10.94</v>
      </c>
      <c r="AA12" s="1236">
        <v>11.47</v>
      </c>
      <c r="AB12" s="1236">
        <v>11.04</v>
      </c>
      <c r="AC12" s="1236">
        <v>11.57</v>
      </c>
      <c r="AD12" s="1237">
        <v>11.14</v>
      </c>
      <c r="AE12" s="1237">
        <v>11.67</v>
      </c>
      <c r="AF12" s="1237">
        <v>11.24</v>
      </c>
      <c r="AG12" s="1237">
        <v>11.77</v>
      </c>
      <c r="AH12" s="1237">
        <v>11.34</v>
      </c>
      <c r="AI12" s="1237">
        <v>11.87</v>
      </c>
      <c r="AJ12" s="1237">
        <v>11.44</v>
      </c>
      <c r="AK12" s="1237">
        <v>11.97</v>
      </c>
      <c r="AL12" s="1238">
        <v>11.54</v>
      </c>
      <c r="AM12" s="1238">
        <v>12.07</v>
      </c>
      <c r="AN12" s="1238">
        <v>11.64</v>
      </c>
      <c r="AO12" s="1238">
        <v>12.17</v>
      </c>
      <c r="AP12" s="1238">
        <v>11.74</v>
      </c>
      <c r="AQ12" s="1238">
        <v>12.27</v>
      </c>
      <c r="AR12" s="1238">
        <v>11.84</v>
      </c>
      <c r="AS12" s="1238">
        <v>12.37</v>
      </c>
      <c r="AT12" s="1238">
        <v>10.029999999999999</v>
      </c>
      <c r="AU12" s="1238">
        <v>10.56</v>
      </c>
      <c r="AV12" s="1238">
        <v>9.93</v>
      </c>
      <c r="AW12" s="1238">
        <v>10.46</v>
      </c>
      <c r="AX12" s="1238">
        <v>7.52</v>
      </c>
      <c r="AY12" s="1238">
        <v>7.9</v>
      </c>
      <c r="AZ12" s="1238">
        <v>7.42</v>
      </c>
      <c r="BA12" s="1238">
        <v>7.8</v>
      </c>
      <c r="BB12" s="1238">
        <v>7.32</v>
      </c>
      <c r="BC12" s="1238">
        <v>7.7</v>
      </c>
      <c r="BD12" s="150">
        <f t="shared" ref="BD12:BE16" si="4">IF($C$2=22.5,J12,IF($C$2=23.5,L12,IF($C$2=24.5,N12,IF($C$2=25.5,P12,IF($C$2=26.5,R12,IF($C$2=27.5,T12,IF($C$2=28.5,V12,IF($C$2=29.5,X12,IF($C$2=30.5,Z12,IF($C$2=31.5,AB12,IF($C$2=32.5,AD12,IF($C$2=33.5,AF12))))))))))))</f>
        <v>10.94</v>
      </c>
      <c r="BE12" s="150">
        <f t="shared" si="4"/>
        <v>11.47</v>
      </c>
      <c r="BF12" s="92">
        <f>IF('1.ข้อมูล'!$Q$16=0,BD12,IF('1.ข้อมูล'!$Q$16=1,BE12,IF('1.ข้อมูล'!$Q$16=2,BE12,)))</f>
        <v>10.94</v>
      </c>
      <c r="BI12" s="119">
        <f>BI11/10</f>
        <v>0.31860669999999991</v>
      </c>
      <c r="BJ12" s="33"/>
      <c r="BK12" s="117"/>
      <c r="BL12" s="48">
        <v>20</v>
      </c>
      <c r="BM12" s="49">
        <v>12</v>
      </c>
      <c r="BN12" s="90">
        <v>10.638500000000001</v>
      </c>
      <c r="BO12" s="52">
        <f>-BM3/12*(BM6/100+(BM12+BM7-1)*BM4/100-(BM4+BM6)/100*(BM12+1)/2-(BM7-1))</f>
        <v>0.83333333333333337</v>
      </c>
      <c r="BP12" s="53">
        <v>5.5</v>
      </c>
      <c r="BQ12" s="50">
        <f>1+( BN12+BO12+BP12)/100</f>
        <v>1.1697183333333334</v>
      </c>
      <c r="BR12" s="132">
        <f>BR9/100+1</f>
        <v>1.07</v>
      </c>
      <c r="BS12" s="87">
        <f t="shared" si="3"/>
        <v>1.2515986166666668</v>
      </c>
      <c r="BT12" s="1368">
        <v>1.2688999999999999</v>
      </c>
      <c r="BU12" s="1369">
        <v>1.2863</v>
      </c>
      <c r="BV12" s="137"/>
    </row>
    <row r="13" spans="2:74">
      <c r="B13" s="148">
        <v>9</v>
      </c>
      <c r="C13" s="74">
        <f>IF($C$2=22.5,'S3'!A13,IF($C$2=23.5,'S3'!B13,IF($C$2=24.5,'S3'!C13,IF($C$2=25.5,'S3'!D13,IF($C$2=26.5,'S3'!E13,IF($C$2=27.5,'S3'!F13,IF($C$2=28.5,'S3'!G13,IF($C$2=29.5,'S3'!H13,IF($C$2=30.5,'S3'!I13,IF($C$2=31.5,'S3'!J13,IF($C$2=32.5,'S3'!K13,IF($C$2=33.5,'S3'!L13))))))))))))</f>
        <v>23.7</v>
      </c>
      <c r="D13" s="74">
        <f t="shared" si="2"/>
        <v>33.18</v>
      </c>
      <c r="E13" s="74">
        <f>IF($E$2=22.5,'S3'!Y13,IF($E$2=23.5,'S3'!Z13,IF($E$2=24.5,'S3'!AA13,IF($E$2=25.5,'S3'!AB13,IF($E$2=26.5,'S3'!AC13,IF($E$2=27.5,'S3'!AD13,IF($E$2=28.5,'S3'!AE13,IF($E$2=29.5,'S3'!AF13,IF($E$2=30.5,'S3'!AG13,IF($E$2=31.5,'S3'!AH13,IF($E$2=32.5,'S3'!AI13,IF($E$2=33.5,'S3'!AJ13))))))))))))</f>
        <v>15.58</v>
      </c>
      <c r="F13" s="74">
        <f t="shared" si="1"/>
        <v>21.81</v>
      </c>
      <c r="H13" s="24" t="s">
        <v>83</v>
      </c>
      <c r="I13" s="27" t="s">
        <v>26</v>
      </c>
      <c r="J13" s="97">
        <v>13.16</v>
      </c>
      <c r="K13" s="98">
        <v>14.01</v>
      </c>
      <c r="L13" s="97">
        <v>13.28</v>
      </c>
      <c r="M13" s="98">
        <v>14.13</v>
      </c>
      <c r="N13" s="97">
        <v>13.41</v>
      </c>
      <c r="O13" s="98">
        <v>14.26</v>
      </c>
      <c r="P13" s="1235">
        <v>13.53</v>
      </c>
      <c r="Q13" s="1236">
        <v>14.38</v>
      </c>
      <c r="R13" s="1235">
        <v>13.66</v>
      </c>
      <c r="S13" s="1236">
        <v>14.51</v>
      </c>
      <c r="T13" s="1235">
        <v>13.78</v>
      </c>
      <c r="U13" s="1236">
        <v>14.63</v>
      </c>
      <c r="V13" s="1235">
        <v>13.9</v>
      </c>
      <c r="W13" s="1236">
        <v>14.75</v>
      </c>
      <c r="X13" s="1235">
        <v>14.03</v>
      </c>
      <c r="Y13" s="1236">
        <v>14.88</v>
      </c>
      <c r="Z13" s="1236">
        <v>14.15</v>
      </c>
      <c r="AA13" s="1236">
        <v>15</v>
      </c>
      <c r="AB13" s="1236">
        <v>14.27</v>
      </c>
      <c r="AC13" s="1236">
        <v>15.12</v>
      </c>
      <c r="AD13" s="1237">
        <v>14.4</v>
      </c>
      <c r="AE13" s="1237">
        <v>15.25</v>
      </c>
      <c r="AF13" s="1237">
        <v>14.52</v>
      </c>
      <c r="AG13" s="1237">
        <v>15.37</v>
      </c>
      <c r="AH13" s="1237">
        <v>14.65</v>
      </c>
      <c r="AI13" s="1237">
        <v>15.5</v>
      </c>
      <c r="AJ13" s="1237">
        <v>14.77</v>
      </c>
      <c r="AK13" s="1237">
        <v>15.62</v>
      </c>
      <c r="AL13" s="1238">
        <v>14.89</v>
      </c>
      <c r="AM13" s="1238">
        <v>15.74</v>
      </c>
      <c r="AN13" s="1238">
        <v>15.02</v>
      </c>
      <c r="AO13" s="1238">
        <v>15.87</v>
      </c>
      <c r="AP13" s="1238">
        <v>15.14</v>
      </c>
      <c r="AQ13" s="1238">
        <v>15.99</v>
      </c>
      <c r="AR13" s="1238">
        <v>15.26</v>
      </c>
      <c r="AS13" s="1238">
        <v>16.11</v>
      </c>
      <c r="AT13" s="1238">
        <v>13.04</v>
      </c>
      <c r="AU13" s="1238">
        <v>13.89</v>
      </c>
      <c r="AV13" s="1238">
        <v>12.91</v>
      </c>
      <c r="AW13" s="1238">
        <v>13.76</v>
      </c>
      <c r="AX13" s="1238">
        <v>9.7799999999999994</v>
      </c>
      <c r="AY13" s="1238">
        <v>10.4</v>
      </c>
      <c r="AZ13" s="1238">
        <v>9.66</v>
      </c>
      <c r="BA13" s="1238">
        <v>10.27</v>
      </c>
      <c r="BB13" s="1238">
        <v>9.5299999999999994</v>
      </c>
      <c r="BC13" s="1238">
        <v>10.15</v>
      </c>
      <c r="BD13" s="150">
        <f t="shared" si="4"/>
        <v>14.15</v>
      </c>
      <c r="BE13" s="150">
        <f t="shared" si="4"/>
        <v>15</v>
      </c>
      <c r="BF13" s="92">
        <f>IF('1.ข้อมูล'!$Q$16=0,BD13,IF('1.ข้อมูล'!$Q$16=1,BE13,IF('1.ข้อมูล'!$Q$16=2,BE13,)))</f>
        <v>14.15</v>
      </c>
      <c r="BI13" s="48">
        <f>IF(BI12&gt;=1,((ROUND(BI12-0.5,0))*10),5)</f>
        <v>5</v>
      </c>
      <c r="BJ13" s="33"/>
      <c r="BK13" s="117"/>
      <c r="BL13" s="48">
        <v>30</v>
      </c>
      <c r="BM13" s="49">
        <v>12</v>
      </c>
      <c r="BN13" s="90">
        <v>7.5560999999999998</v>
      </c>
      <c r="BO13" s="52">
        <f>-BM3/12*(BM6/100+(BM13+BM7-1)*BM4/100-(BM4+BM6)/100*(BM13+1)/2-(BM7-1))</f>
        <v>0.83333333333333337</v>
      </c>
      <c r="BP13" s="53">
        <v>5.5</v>
      </c>
      <c r="BQ13" s="50">
        <f t="shared" ref="BQ13:BQ20" si="5">1+( BN13+BO13+BP13)/100</f>
        <v>1.1388943333333335</v>
      </c>
      <c r="BR13" s="132">
        <f>BR9/100+1</f>
        <v>1.07</v>
      </c>
      <c r="BS13" s="87">
        <f t="shared" si="3"/>
        <v>1.2186169366666668</v>
      </c>
      <c r="BT13" s="1368">
        <v>1.2342</v>
      </c>
      <c r="BU13" s="1369">
        <v>1.2497</v>
      </c>
      <c r="BV13" s="137"/>
    </row>
    <row r="14" spans="2:74">
      <c r="B14" s="148">
        <v>10</v>
      </c>
      <c r="C14" s="74">
        <f>IF($C$2=22.5,'S3'!A14,IF($C$2=23.5,'S3'!B14,IF($C$2=24.5,'S3'!C14,IF($C$2=25.5,'S3'!D14,IF($C$2=26.5,'S3'!E14,IF($C$2=27.5,'S3'!F14,IF($C$2=28.5,'S3'!G14,IF($C$2=29.5,'S3'!H14,IF($C$2=30.5,'S3'!I14,IF($C$2=31.5,'S3'!J14,IF($C$2=32.5,'S3'!K14,IF($C$2=33.5,'S3'!L14))))))))))))</f>
        <v>26.2</v>
      </c>
      <c r="D14" s="74">
        <f t="shared" si="2"/>
        <v>36.68</v>
      </c>
      <c r="E14" s="74">
        <f>IF($E$2=22.5,'S3'!Y14,IF($E$2=23.5,'S3'!Z14,IF($E$2=24.5,'S3'!AA14,IF($E$2=25.5,'S3'!AB14,IF($E$2=26.5,'S3'!AC14,IF($E$2=27.5,'S3'!AD14,IF($E$2=28.5,'S3'!AE14,IF($E$2=29.5,'S3'!AF14,IF($E$2=30.5,'S3'!AG14,IF($E$2=31.5,'S3'!AH14,IF($E$2=32.5,'S3'!AI14,IF($E$2=33.5,'S3'!AJ14))))))))))))</f>
        <v>16.97</v>
      </c>
      <c r="F14" s="74">
        <f t="shared" si="1"/>
        <v>23.76</v>
      </c>
      <c r="H14" s="24" t="s">
        <v>84</v>
      </c>
      <c r="I14" s="27" t="s">
        <v>26</v>
      </c>
      <c r="J14" s="97">
        <v>10.58</v>
      </c>
      <c r="K14" s="98">
        <v>11.02</v>
      </c>
      <c r="L14" s="97">
        <v>10.68</v>
      </c>
      <c r="M14" s="98">
        <v>11.12</v>
      </c>
      <c r="N14" s="97">
        <v>10.78</v>
      </c>
      <c r="O14" s="98">
        <v>11.22</v>
      </c>
      <c r="P14" s="1235">
        <v>10.87</v>
      </c>
      <c r="Q14" s="1236">
        <v>11.31</v>
      </c>
      <c r="R14" s="1235">
        <v>10.97</v>
      </c>
      <c r="S14" s="1236">
        <v>11.41</v>
      </c>
      <c r="T14" s="1235">
        <v>11.07</v>
      </c>
      <c r="U14" s="1236">
        <v>11.51</v>
      </c>
      <c r="V14" s="1235">
        <v>11.17</v>
      </c>
      <c r="W14" s="1236">
        <v>11.61</v>
      </c>
      <c r="X14" s="1235">
        <v>11.26</v>
      </c>
      <c r="Y14" s="1236">
        <v>11.7</v>
      </c>
      <c r="Z14" s="1236">
        <v>11.36</v>
      </c>
      <c r="AA14" s="1236">
        <v>11.8</v>
      </c>
      <c r="AB14" s="1236">
        <v>11.46</v>
      </c>
      <c r="AC14" s="1236">
        <v>11.9</v>
      </c>
      <c r="AD14" s="1237">
        <v>11.56</v>
      </c>
      <c r="AE14" s="1237">
        <v>12</v>
      </c>
      <c r="AF14" s="1237">
        <v>11.66</v>
      </c>
      <c r="AG14" s="1237">
        <v>12.1</v>
      </c>
      <c r="AH14" s="1237">
        <v>11.75</v>
      </c>
      <c r="AI14" s="1237">
        <v>12.19</v>
      </c>
      <c r="AJ14" s="1237">
        <v>11.85</v>
      </c>
      <c r="AK14" s="1237">
        <v>12.29</v>
      </c>
      <c r="AL14" s="1238">
        <v>11.95</v>
      </c>
      <c r="AM14" s="1238">
        <v>12.39</v>
      </c>
      <c r="AN14" s="1238">
        <v>12.05</v>
      </c>
      <c r="AO14" s="1238">
        <v>12.49</v>
      </c>
      <c r="AP14" s="1238">
        <v>12.14</v>
      </c>
      <c r="AQ14" s="1238">
        <v>12.58</v>
      </c>
      <c r="AR14" s="1238">
        <v>12.24</v>
      </c>
      <c r="AS14" s="1238">
        <v>12.68</v>
      </c>
      <c r="AT14" s="1238">
        <v>10.48</v>
      </c>
      <c r="AU14" s="1238">
        <v>10.92</v>
      </c>
      <c r="AV14" s="1238">
        <v>10.39</v>
      </c>
      <c r="AW14" s="1238">
        <v>10.83</v>
      </c>
      <c r="AX14" s="1238">
        <v>7.93</v>
      </c>
      <c r="AY14" s="1238">
        <v>8.24</v>
      </c>
      <c r="AZ14" s="1238">
        <v>7.83</v>
      </c>
      <c r="BA14" s="1238">
        <v>8.14</v>
      </c>
      <c r="BB14" s="1238">
        <v>7.73</v>
      </c>
      <c r="BC14" s="1238">
        <v>8.0399999999999991</v>
      </c>
      <c r="BD14" s="150">
        <f t="shared" si="4"/>
        <v>11.36</v>
      </c>
      <c r="BE14" s="150">
        <f t="shared" si="4"/>
        <v>11.8</v>
      </c>
      <c r="BF14" s="92">
        <f>IF('1.ข้อมูล'!$Q$16=0,BD14,IF('1.ข้อมูล'!$Q$16=1,BE14,IF('1.ข้อมูล'!$Q$16=2,BE14,)))</f>
        <v>11.36</v>
      </c>
      <c r="BI14" s="48">
        <f>(ROUND(BI12+0.5,0))*10</f>
        <v>10</v>
      </c>
      <c r="BJ14" s="33"/>
      <c r="BK14" s="117"/>
      <c r="BL14" s="48">
        <v>40</v>
      </c>
      <c r="BM14" s="49">
        <v>16</v>
      </c>
      <c r="BN14" s="90">
        <v>7.4311999999999996</v>
      </c>
      <c r="BO14" s="52">
        <f>-BM3/12*(BM6/100+(BM14+BM7-1)*BM4/100-(BM4+BM6)/100*(BM14+1)/2-(BM7-1))</f>
        <v>0.83333333333333337</v>
      </c>
      <c r="BP14" s="53">
        <v>5</v>
      </c>
      <c r="BQ14" s="50">
        <f t="shared" si="5"/>
        <v>1.1326453333333333</v>
      </c>
      <c r="BR14" s="132">
        <f>BR9/100+1</f>
        <v>1.07</v>
      </c>
      <c r="BS14" s="87">
        <f t="shared" si="3"/>
        <v>1.2119305066666666</v>
      </c>
      <c r="BT14" s="1368">
        <v>1.2289000000000001</v>
      </c>
      <c r="BU14" s="1369">
        <v>1.246</v>
      </c>
      <c r="BV14" s="137"/>
    </row>
    <row r="15" spans="2:74">
      <c r="B15" s="148">
        <v>11</v>
      </c>
      <c r="C15" s="74">
        <f>IF($C$2=22.5,'S3'!A15,IF($C$2=23.5,'S3'!B15,IF($C$2=24.5,'S3'!C15,IF($C$2=25.5,'S3'!D15,IF($C$2=26.5,'S3'!E15,IF($C$2=27.5,'S3'!F15,IF($C$2=28.5,'S3'!G15,IF($C$2=29.5,'S3'!H15,IF($C$2=30.5,'S3'!I15,IF($C$2=31.5,'S3'!J15,IF($C$2=32.5,'S3'!K15,IF($C$2=33.5,'S3'!L15))))))))))))</f>
        <v>28.69</v>
      </c>
      <c r="D15" s="74">
        <f t="shared" si="2"/>
        <v>40.17</v>
      </c>
      <c r="E15" s="74">
        <f>IF($E$2=22.5,'S3'!Y15,IF($E$2=23.5,'S3'!Z15,IF($E$2=24.5,'S3'!AA15,IF($E$2=25.5,'S3'!AB15,IF($E$2=26.5,'S3'!AC15,IF($E$2=27.5,'S3'!AD15,IF($E$2=28.5,'S3'!AE15,IF($E$2=29.5,'S3'!AF15,IF($E$2=30.5,'S3'!AG15,IF($E$2=31.5,'S3'!AH15,IF($E$2=32.5,'S3'!AI15,IF($E$2=33.5,'S3'!AJ15))))))))))))</f>
        <v>18.350000000000001</v>
      </c>
      <c r="F15" s="74">
        <f t="shared" si="1"/>
        <v>25.69</v>
      </c>
      <c r="H15" s="25" t="s">
        <v>85</v>
      </c>
      <c r="I15" s="27" t="s">
        <v>26</v>
      </c>
      <c r="J15" s="97">
        <v>6.25</v>
      </c>
      <c r="K15" s="98">
        <v>6.41</v>
      </c>
      <c r="L15" s="97">
        <v>6.38</v>
      </c>
      <c r="M15" s="98">
        <v>6.54</v>
      </c>
      <c r="N15" s="97">
        <v>6.51</v>
      </c>
      <c r="O15" s="98">
        <v>6.67</v>
      </c>
      <c r="P15" s="1235">
        <v>6.63</v>
      </c>
      <c r="Q15" s="1236">
        <v>6.79</v>
      </c>
      <c r="R15" s="1235">
        <v>6.76</v>
      </c>
      <c r="S15" s="1236">
        <v>6.92</v>
      </c>
      <c r="T15" s="1235">
        <v>6.89</v>
      </c>
      <c r="U15" s="1236">
        <v>7.05</v>
      </c>
      <c r="V15" s="1235">
        <v>7.02</v>
      </c>
      <c r="W15" s="1236">
        <v>7.18</v>
      </c>
      <c r="X15" s="1235">
        <v>7.15</v>
      </c>
      <c r="Y15" s="1236">
        <v>7.31</v>
      </c>
      <c r="Z15" s="1236">
        <v>7.28</v>
      </c>
      <c r="AA15" s="1236">
        <v>7.44</v>
      </c>
      <c r="AB15" s="1236">
        <v>7.41</v>
      </c>
      <c r="AC15" s="1236">
        <v>7.57</v>
      </c>
      <c r="AD15" s="1237">
        <v>7.54</v>
      </c>
      <c r="AE15" s="1237">
        <v>7.7</v>
      </c>
      <c r="AF15" s="1237">
        <v>7.67</v>
      </c>
      <c r="AG15" s="1237">
        <v>7.83</v>
      </c>
      <c r="AH15" s="1237">
        <v>7.79</v>
      </c>
      <c r="AI15" s="1237">
        <v>7.95</v>
      </c>
      <c r="AJ15" s="1237">
        <v>7.92</v>
      </c>
      <c r="AK15" s="1237">
        <v>8.08</v>
      </c>
      <c r="AL15" s="1238">
        <v>8.0500000000000007</v>
      </c>
      <c r="AM15" s="1238">
        <v>8.2100000000000009</v>
      </c>
      <c r="AN15" s="1238">
        <v>8.18</v>
      </c>
      <c r="AO15" s="1238">
        <v>8.34</v>
      </c>
      <c r="AP15" s="1238">
        <v>8.31</v>
      </c>
      <c r="AQ15" s="1238">
        <v>8.4700000000000006</v>
      </c>
      <c r="AR15" s="1238">
        <v>8.44</v>
      </c>
      <c r="AS15" s="1238">
        <v>8.6</v>
      </c>
      <c r="AT15" s="1238">
        <v>6.12</v>
      </c>
      <c r="AU15" s="1238">
        <v>6.28</v>
      </c>
      <c r="AV15" s="1238">
        <v>5.99</v>
      </c>
      <c r="AW15" s="1238">
        <v>6.15</v>
      </c>
      <c r="AX15" s="1238">
        <v>5.09</v>
      </c>
      <c r="AY15" s="1238">
        <v>5.23</v>
      </c>
      <c r="AZ15" s="1238">
        <v>4.96</v>
      </c>
      <c r="BA15" s="1238">
        <v>5.0999999999999996</v>
      </c>
      <c r="BB15" s="1238">
        <v>4.84</v>
      </c>
      <c r="BC15" s="1238">
        <v>4.97</v>
      </c>
      <c r="BD15" s="150">
        <f t="shared" si="4"/>
        <v>7.28</v>
      </c>
      <c r="BE15" s="150">
        <f t="shared" si="4"/>
        <v>7.44</v>
      </c>
      <c r="BF15" s="92">
        <f>IF('1.ข้อมูล'!$Q$16=0,BD15,IF('1.ข้อมูล'!$Q$16=1,BE15,IF('1.ข้อมูล'!$Q$16=2,BE15,)))</f>
        <v>7.28</v>
      </c>
      <c r="BI15" s="119">
        <f>VLOOKUP(BI13,BL10:BS20,8)</f>
        <v>1.3606904666666666</v>
      </c>
      <c r="BJ15" s="87">
        <f>VLOOKUP(BI13,BL10:BT20,9)</f>
        <v>1.3794999999999999</v>
      </c>
      <c r="BK15" s="120">
        <f>VLOOKUP(BI13,BL10:BU20,10)</f>
        <v>1.3984000000000001</v>
      </c>
      <c r="BL15" s="48">
        <v>50</v>
      </c>
      <c r="BM15" s="49">
        <v>18</v>
      </c>
      <c r="BN15" s="90">
        <v>6.9413</v>
      </c>
      <c r="BO15" s="52">
        <f>-BM3/12*(BM6/100+(BM15+BM7-1)*BM4/100-(BM4+BM6)/100*(BM15+1)/2-(BM7-1))</f>
        <v>0.83333333333333337</v>
      </c>
      <c r="BP15" s="53">
        <v>5</v>
      </c>
      <c r="BQ15" s="50">
        <f t="shared" si="5"/>
        <v>1.1277463333333333</v>
      </c>
      <c r="BR15" s="132">
        <f>BR9/100+1</f>
        <v>1.07</v>
      </c>
      <c r="BS15" s="87">
        <f t="shared" si="3"/>
        <v>1.2066885766666666</v>
      </c>
      <c r="BT15" s="1368">
        <v>1.2238</v>
      </c>
      <c r="BU15" s="1369">
        <v>1.2408999999999999</v>
      </c>
      <c r="BV15" s="137"/>
    </row>
    <row r="16" spans="2:74">
      <c r="B16" s="148">
        <v>12</v>
      </c>
      <c r="C16" s="74">
        <f>IF($C$2=22.5,'S3'!A16,IF($C$2=23.5,'S3'!B16,IF($C$2=24.5,'S3'!C16,IF($C$2=25.5,'S3'!D16,IF($C$2=26.5,'S3'!E16,IF($C$2=27.5,'S3'!F16,IF($C$2=28.5,'S3'!G16,IF($C$2=29.5,'S3'!H16,IF($C$2=30.5,'S3'!I16,IF($C$2=31.5,'S3'!J16,IF($C$2=32.5,'S3'!K16,IF($C$2=33.5,'S3'!L16))))))))))))</f>
        <v>31.18</v>
      </c>
      <c r="D16" s="74">
        <f t="shared" si="2"/>
        <v>43.65</v>
      </c>
      <c r="E16" s="74">
        <f>IF($E$2=22.5,'S3'!Y16,IF($E$2=23.5,'S3'!Z16,IF($E$2=24.5,'S3'!AA16,IF($E$2=25.5,'S3'!AB16,IF($E$2=26.5,'S3'!AC16,IF($E$2=27.5,'S3'!AD16,IF($E$2=28.5,'S3'!AE16,IF($E$2=29.5,'S3'!AF16,IF($E$2=30.5,'S3'!AG16,IF($E$2=31.5,'S3'!AH16,IF($E$2=32.5,'S3'!AI16,IF($E$2=33.5,'S3'!AJ16))))))))))))</f>
        <v>19.739999999999998</v>
      </c>
      <c r="F16" s="74">
        <f t="shared" si="1"/>
        <v>27.64</v>
      </c>
      <c r="H16" s="25" t="s">
        <v>86</v>
      </c>
      <c r="I16" s="27" t="s">
        <v>26</v>
      </c>
      <c r="J16" s="97">
        <v>6.1</v>
      </c>
      <c r="K16" s="98">
        <v>6.32</v>
      </c>
      <c r="L16" s="97">
        <v>6.22</v>
      </c>
      <c r="M16" s="98">
        <v>6.44</v>
      </c>
      <c r="N16" s="97">
        <v>6.34</v>
      </c>
      <c r="O16" s="98">
        <v>6.56</v>
      </c>
      <c r="P16" s="1235">
        <v>6.45</v>
      </c>
      <c r="Q16" s="1236">
        <v>6.67</v>
      </c>
      <c r="R16" s="1235">
        <v>6.57</v>
      </c>
      <c r="S16" s="1236">
        <v>6.79</v>
      </c>
      <c r="T16" s="1235">
        <v>6.69</v>
      </c>
      <c r="U16" s="1236">
        <v>6.91</v>
      </c>
      <c r="V16" s="1235">
        <v>6.81</v>
      </c>
      <c r="W16" s="1236">
        <v>7.03</v>
      </c>
      <c r="X16" s="1235">
        <v>6.93</v>
      </c>
      <c r="Y16" s="1236">
        <v>7.15</v>
      </c>
      <c r="Z16" s="1236">
        <v>7.05</v>
      </c>
      <c r="AA16" s="1236">
        <v>7.27</v>
      </c>
      <c r="AB16" s="1236">
        <v>7.17</v>
      </c>
      <c r="AC16" s="1236">
        <v>7.39</v>
      </c>
      <c r="AD16" s="1237">
        <v>7.29</v>
      </c>
      <c r="AE16" s="1237">
        <v>7.51</v>
      </c>
      <c r="AF16" s="1237">
        <v>7.41</v>
      </c>
      <c r="AG16" s="1237">
        <v>7.63</v>
      </c>
      <c r="AH16" s="1237">
        <v>7.53</v>
      </c>
      <c r="AI16" s="1237">
        <v>7.75</v>
      </c>
      <c r="AJ16" s="1237">
        <v>7.65</v>
      </c>
      <c r="AK16" s="1237">
        <v>7.87</v>
      </c>
      <c r="AL16" s="1238">
        <v>7.77</v>
      </c>
      <c r="AM16" s="1238">
        <v>7.99</v>
      </c>
      <c r="AN16" s="1238">
        <v>7.89</v>
      </c>
      <c r="AO16" s="1238">
        <v>8.11</v>
      </c>
      <c r="AP16" s="1238">
        <v>8.01</v>
      </c>
      <c r="AQ16" s="1238">
        <v>8.23</v>
      </c>
      <c r="AR16" s="1238">
        <v>8.1300000000000008</v>
      </c>
      <c r="AS16" s="1238">
        <v>8.35</v>
      </c>
      <c r="AT16" s="1238">
        <v>5.98</v>
      </c>
      <c r="AU16" s="1238">
        <v>6.2</v>
      </c>
      <c r="AV16" s="1238">
        <v>5.86</v>
      </c>
      <c r="AW16" s="1238">
        <v>6.08</v>
      </c>
      <c r="AX16" s="1238">
        <v>4.88</v>
      </c>
      <c r="AY16" s="1238">
        <v>5.08</v>
      </c>
      <c r="AZ16" s="1238">
        <v>4.7699999999999996</v>
      </c>
      <c r="BA16" s="1238">
        <v>4.96</v>
      </c>
      <c r="BB16" s="1238">
        <v>4.6500000000000004</v>
      </c>
      <c r="BC16" s="1238">
        <v>4.84</v>
      </c>
      <c r="BD16" s="150">
        <f t="shared" si="4"/>
        <v>7.05</v>
      </c>
      <c r="BE16" s="150">
        <f t="shared" si="4"/>
        <v>7.27</v>
      </c>
      <c r="BF16" s="92">
        <f>IF('1.ข้อมูล'!$Q$16=0,BD16,IF('1.ข้อมูล'!$Q$16=1,BE16,IF('1.ข้อมูล'!$Q$16=2,BE16,)))</f>
        <v>7.05</v>
      </c>
      <c r="BI16" s="119">
        <f>VLOOKUP(BI14,BL10:BS20,8)</f>
        <v>1.3098322966666669</v>
      </c>
      <c r="BJ16" s="87">
        <f>VLOOKUP(BI14,BL10:BT20,9)</f>
        <v>1.3291999999999999</v>
      </c>
      <c r="BK16" s="120">
        <f>VLOOKUP(BI14,BL10:BU20,10)</f>
        <v>1.3486</v>
      </c>
      <c r="BL16" s="48">
        <v>60</v>
      </c>
      <c r="BM16" s="49">
        <v>18</v>
      </c>
      <c r="BN16" s="90">
        <v>6.3773</v>
      </c>
      <c r="BO16" s="52">
        <f>-BM3/12*(BM6/100+(BM16+BM7-1)*BM4/100-(BM4+BM6)/100*(BM16+1)/2-(BM7-1))</f>
        <v>0.83333333333333337</v>
      </c>
      <c r="BP16" s="53">
        <v>5</v>
      </c>
      <c r="BQ16" s="50">
        <f t="shared" si="5"/>
        <v>1.1221063333333334</v>
      </c>
      <c r="BR16" s="132">
        <f>BR9/100+1</f>
        <v>1.07</v>
      </c>
      <c r="BS16" s="87">
        <f t="shared" si="3"/>
        <v>1.2006537766666667</v>
      </c>
      <c r="BT16" s="1368">
        <v>1.2177</v>
      </c>
      <c r="BU16" s="1369">
        <v>1.2347999999999999</v>
      </c>
      <c r="BV16" s="137"/>
    </row>
    <row r="17" spans="2:74">
      <c r="B17" s="148">
        <v>13</v>
      </c>
      <c r="C17" s="74">
        <f>IF($C$2=22.5,'S3'!A17,IF($C$2=23.5,'S3'!B17,IF($C$2=24.5,'S3'!C17,IF($C$2=25.5,'S3'!D17,IF($C$2=26.5,'S3'!E17,IF($C$2=27.5,'S3'!F17,IF($C$2=28.5,'S3'!G17,IF($C$2=29.5,'S3'!H17,IF($C$2=30.5,'S3'!I17,IF($C$2=31.5,'S3'!J17,IF($C$2=32.5,'S3'!K17,IF($C$2=33.5,'S3'!L17))))))))))))</f>
        <v>33.68</v>
      </c>
      <c r="D17" s="74">
        <f t="shared" si="2"/>
        <v>47.15</v>
      </c>
      <c r="E17" s="74">
        <f>IF($E$2=22.5,'S3'!Y17,IF($E$2=23.5,'S3'!Z17,IF($E$2=24.5,'S3'!AA17,IF($E$2=25.5,'S3'!AB17,IF($E$2=26.5,'S3'!AC17,IF($E$2=27.5,'S3'!AD17,IF($E$2=28.5,'S3'!AE17,IF($E$2=29.5,'S3'!AF17,IF($E$2=30.5,'S3'!AG17,IF($E$2=31.5,'S3'!AH17,IF($E$2=32.5,'S3'!AI17,IF($E$2=33.5,'S3'!AJ17))))))))))))</f>
        <v>21.12</v>
      </c>
      <c r="F17" s="74">
        <f t="shared" si="1"/>
        <v>29.57</v>
      </c>
      <c r="H17" s="25" t="s">
        <v>87</v>
      </c>
      <c r="I17" s="26"/>
      <c r="J17" s="100"/>
      <c r="K17" s="100"/>
      <c r="L17" s="100"/>
      <c r="M17" s="100"/>
      <c r="N17" s="100"/>
      <c r="O17" s="100"/>
      <c r="P17" s="1242"/>
      <c r="Q17" s="1242"/>
      <c r="R17" s="1242"/>
      <c r="S17" s="1242"/>
      <c r="T17" s="1242"/>
      <c r="U17" s="1242"/>
      <c r="V17" s="1242"/>
      <c r="W17" s="1242"/>
      <c r="X17" s="1242"/>
      <c r="Y17" s="1242"/>
      <c r="Z17" s="1242"/>
      <c r="AA17" s="1242"/>
      <c r="AB17" s="1242"/>
      <c r="AC17" s="1242"/>
      <c r="AD17" s="1243"/>
      <c r="AE17" s="1243"/>
      <c r="AF17" s="1243"/>
      <c r="AG17" s="1243"/>
      <c r="AH17" s="1243"/>
      <c r="AI17" s="1243"/>
      <c r="AJ17" s="1243"/>
      <c r="AK17" s="1243"/>
      <c r="AL17" s="1244"/>
      <c r="AM17" s="1244"/>
      <c r="AN17" s="1244"/>
      <c r="AO17" s="1244"/>
      <c r="AP17" s="1244"/>
      <c r="AQ17" s="1244"/>
      <c r="AR17" s="1244"/>
      <c r="AS17" s="1244"/>
      <c r="AT17" s="1244"/>
      <c r="AU17" s="1244"/>
      <c r="AV17" s="1244"/>
      <c r="AW17" s="1244"/>
      <c r="AX17" s="1244"/>
      <c r="AY17" s="1244"/>
      <c r="AZ17" s="1244"/>
      <c r="BA17" s="1244"/>
      <c r="BB17" s="1244"/>
      <c r="BC17" s="1244"/>
      <c r="BD17" s="9"/>
      <c r="BE17" s="9"/>
      <c r="BF17" s="9"/>
      <c r="BI17" s="121">
        <f>ROUNDDOWN(IF(BI11&gt;5,BI15-((BI15-BI16)/(BI14-BI13)*(BI11-BI13)),BI15),4)</f>
        <v>1.3606</v>
      </c>
      <c r="BJ17" s="122">
        <f>ROUND(IF(BI11&gt;5,BJ15-((BJ15-BJ16)/(BI14-BI13)*(BI11-BI13)),BJ15),4)</f>
        <v>1.3794999999999999</v>
      </c>
      <c r="BK17" s="123">
        <f>ROUND(IF(BI11&gt;5,BK15-((BK15-BK16)/(BI14-BI13)*(BI11-BI13)),BK15),4)</f>
        <v>1.3984000000000001</v>
      </c>
      <c r="BL17" s="48">
        <v>70</v>
      </c>
      <c r="BM17" s="49">
        <v>19</v>
      </c>
      <c r="BN17" s="90">
        <v>6.3436000000000003</v>
      </c>
      <c r="BO17" s="52">
        <f>-BM3/12*(BM6/100+(BM17+BM7-1)*BM4/100-(BM4+BM6)/100*(BM17+1)/2-(BM7-1))</f>
        <v>0.83333333333333337</v>
      </c>
      <c r="BP17" s="53">
        <v>4.5</v>
      </c>
      <c r="BQ17" s="50">
        <f t="shared" si="5"/>
        <v>1.1167693333333333</v>
      </c>
      <c r="BR17" s="132">
        <f>BR9/100+1</f>
        <v>1.07</v>
      </c>
      <c r="BS17" s="87">
        <f t="shared" si="3"/>
        <v>1.1949431866666667</v>
      </c>
      <c r="BT17" s="1368">
        <v>1.2124999999999999</v>
      </c>
      <c r="BU17" s="1369">
        <v>1.23</v>
      </c>
      <c r="BV17" s="137"/>
    </row>
    <row r="18" spans="2:74">
      <c r="B18" s="148">
        <v>14</v>
      </c>
      <c r="C18" s="74">
        <f>IF($C$2=22.5,'S3'!A18,IF($C$2=23.5,'S3'!B18,IF($C$2=24.5,'S3'!C18,IF($C$2=25.5,'S3'!D18,IF($C$2=26.5,'S3'!E18,IF($C$2=27.5,'S3'!F18,IF($C$2=28.5,'S3'!G18,IF($C$2=29.5,'S3'!H18,IF($C$2=30.5,'S3'!I18,IF($C$2=31.5,'S3'!J18,IF($C$2=32.5,'S3'!K18,IF($C$2=33.5,'S3'!L18))))))))))))</f>
        <v>36.17</v>
      </c>
      <c r="D18" s="74">
        <f t="shared" si="2"/>
        <v>50.64</v>
      </c>
      <c r="E18" s="74">
        <f>IF($E$2=22.5,'S3'!Y18,IF($E$2=23.5,'S3'!Z18,IF($E$2=24.5,'S3'!AA18,IF($E$2=25.5,'S3'!AB18,IF($E$2=26.5,'S3'!AC18,IF($E$2=27.5,'S3'!AD18,IF($E$2=28.5,'S3'!AE18,IF($E$2=29.5,'S3'!AF18,IF($E$2=30.5,'S3'!AG18,IF($E$2=31.5,'S3'!AH18,IF($E$2=32.5,'S3'!AI18,IF($E$2=33.5,'S3'!AJ18))))))))))))</f>
        <v>22.51</v>
      </c>
      <c r="F18" s="74">
        <f t="shared" si="1"/>
        <v>31.51</v>
      </c>
      <c r="H18" s="28" t="s">
        <v>152</v>
      </c>
      <c r="I18" s="27"/>
      <c r="J18" s="97"/>
      <c r="K18" s="98"/>
      <c r="L18" s="97"/>
      <c r="M18" s="98"/>
      <c r="N18" s="97"/>
      <c r="O18" s="98"/>
      <c r="P18" s="1235"/>
      <c r="Q18" s="1236"/>
      <c r="R18" s="1235"/>
      <c r="S18" s="1236"/>
      <c r="T18" s="1235"/>
      <c r="U18" s="1236"/>
      <c r="V18" s="1235"/>
      <c r="W18" s="1236"/>
      <c r="X18" s="1235"/>
      <c r="Y18" s="1236"/>
      <c r="Z18" s="1236"/>
      <c r="AA18" s="1236"/>
      <c r="AB18" s="1236"/>
      <c r="AC18" s="1236"/>
      <c r="AD18" s="1237"/>
      <c r="AE18" s="1237"/>
      <c r="AF18" s="1237"/>
      <c r="AG18" s="1237"/>
      <c r="AH18" s="1237"/>
      <c r="AI18" s="1237"/>
      <c r="AJ18" s="1237"/>
      <c r="AK18" s="1237"/>
      <c r="AL18" s="1238"/>
      <c r="AM18" s="1238"/>
      <c r="AN18" s="1238"/>
      <c r="AO18" s="1238"/>
      <c r="AP18" s="1238"/>
      <c r="AQ18" s="1238"/>
      <c r="AR18" s="1238"/>
      <c r="AS18" s="1238"/>
      <c r="AT18" s="1238"/>
      <c r="AU18" s="1238"/>
      <c r="AV18" s="1238"/>
      <c r="AW18" s="1238"/>
      <c r="AX18" s="1238"/>
      <c r="AY18" s="1238"/>
      <c r="AZ18" s="1238"/>
      <c r="BA18" s="1238"/>
      <c r="BB18" s="1238"/>
      <c r="BC18" s="1238"/>
      <c r="BD18" s="9"/>
      <c r="BE18" s="9"/>
      <c r="BF18" s="9"/>
      <c r="BI18" s="124"/>
      <c r="BJ18" s="125"/>
      <c r="BK18" s="126"/>
      <c r="BL18" s="48">
        <v>80</v>
      </c>
      <c r="BM18" s="49">
        <v>20</v>
      </c>
      <c r="BN18" s="90">
        <v>6.0233999999999996</v>
      </c>
      <c r="BO18" s="52">
        <f>-BM3/12*(BM6/100+(BM18+BM7-1)*BM4/100-(BM4+BM6)/100*(BM18+1)/2-(BM7-1))</f>
        <v>0.83333333333333337</v>
      </c>
      <c r="BP18" s="53">
        <v>4.5</v>
      </c>
      <c r="BQ18" s="50">
        <f t="shared" si="5"/>
        <v>1.1135673333333334</v>
      </c>
      <c r="BR18" s="132">
        <f>BR9/100+1</f>
        <v>1.07</v>
      </c>
      <c r="BS18" s="87">
        <f t="shared" si="3"/>
        <v>1.1915170466666667</v>
      </c>
      <c r="BT18" s="1368">
        <v>1.2091000000000001</v>
      </c>
      <c r="BU18" s="1369">
        <v>1.2266999999999999</v>
      </c>
      <c r="BV18" s="137"/>
    </row>
    <row r="19" spans="2:74">
      <c r="B19" s="148">
        <v>15</v>
      </c>
      <c r="C19" s="74">
        <f>IF($C$2=22.5,'S3'!A19,IF($C$2=23.5,'S3'!B19,IF($C$2=24.5,'S3'!C19,IF($C$2=25.5,'S3'!D19,IF($C$2=26.5,'S3'!E19,IF($C$2=27.5,'S3'!F19,IF($C$2=28.5,'S3'!G19,IF($C$2=29.5,'S3'!H19,IF($C$2=30.5,'S3'!I19,IF($C$2=31.5,'S3'!J19,IF($C$2=32.5,'S3'!K19,IF($C$2=33.5,'S3'!L19))))))))))))</f>
        <v>38.659999999999997</v>
      </c>
      <c r="D19" s="74">
        <f t="shared" si="2"/>
        <v>54.12</v>
      </c>
      <c r="E19" s="74">
        <f>IF($E$2=22.5,'S3'!Y19,IF($E$2=23.5,'S3'!Z19,IF($E$2=24.5,'S3'!AA19,IF($E$2=25.5,'S3'!AB19,IF($E$2=26.5,'S3'!AC19,IF($E$2=27.5,'S3'!AD19,IF($E$2=28.5,'S3'!AE19,IF($E$2=29.5,'S3'!AF19,IF($E$2=30.5,'S3'!AG19,IF($E$2=31.5,'S3'!AH19,IF($E$2=32.5,'S3'!AI19,IF($E$2=33.5,'S3'!AJ19))))))))))))</f>
        <v>23.95</v>
      </c>
      <c r="F19" s="74">
        <f t="shared" si="1"/>
        <v>33.53</v>
      </c>
      <c r="H19" s="28" t="s">
        <v>153</v>
      </c>
      <c r="I19" s="27" t="s">
        <v>26</v>
      </c>
      <c r="J19" s="97">
        <v>13.7</v>
      </c>
      <c r="K19" s="98">
        <v>14.41</v>
      </c>
      <c r="L19" s="97">
        <v>13.86</v>
      </c>
      <c r="M19" s="98">
        <v>14.57</v>
      </c>
      <c r="N19" s="97">
        <v>14.03</v>
      </c>
      <c r="O19" s="98">
        <v>14.74</v>
      </c>
      <c r="P19" s="1235">
        <v>14.19</v>
      </c>
      <c r="Q19" s="1236">
        <v>14.9</v>
      </c>
      <c r="R19" s="1235">
        <v>14.36</v>
      </c>
      <c r="S19" s="1236">
        <v>15.07</v>
      </c>
      <c r="T19" s="1235">
        <v>14.52</v>
      </c>
      <c r="U19" s="1236">
        <v>15.23</v>
      </c>
      <c r="V19" s="1235">
        <v>14.69</v>
      </c>
      <c r="W19" s="1236">
        <v>15.4</v>
      </c>
      <c r="X19" s="1235">
        <v>14.85</v>
      </c>
      <c r="Y19" s="1236">
        <v>15.56</v>
      </c>
      <c r="Z19" s="1236">
        <v>15.02</v>
      </c>
      <c r="AA19" s="1236">
        <v>15.73</v>
      </c>
      <c r="AB19" s="1236">
        <v>15.18</v>
      </c>
      <c r="AC19" s="1236">
        <v>15.89</v>
      </c>
      <c r="AD19" s="1237">
        <v>15.35</v>
      </c>
      <c r="AE19" s="1237">
        <v>16.059999999999999</v>
      </c>
      <c r="AF19" s="1237">
        <v>15.52</v>
      </c>
      <c r="AG19" s="1237">
        <v>16.23</v>
      </c>
      <c r="AH19" s="1237">
        <v>15.68</v>
      </c>
      <c r="AI19" s="1237">
        <v>16.39</v>
      </c>
      <c r="AJ19" s="1237">
        <v>15.85</v>
      </c>
      <c r="AK19" s="1237">
        <v>16.559999999999999</v>
      </c>
      <c r="AL19" s="1238">
        <v>16.010000000000002</v>
      </c>
      <c r="AM19" s="1238">
        <v>16.72</v>
      </c>
      <c r="AN19" s="1238">
        <v>16.18</v>
      </c>
      <c r="AO19" s="1238">
        <v>16.89</v>
      </c>
      <c r="AP19" s="1238">
        <v>16.34</v>
      </c>
      <c r="AQ19" s="1238">
        <v>17.05</v>
      </c>
      <c r="AR19" s="1238">
        <v>16.54</v>
      </c>
      <c r="AS19" s="1238">
        <v>17.22</v>
      </c>
      <c r="AT19" s="1238">
        <v>13.53</v>
      </c>
      <c r="AU19" s="1238">
        <v>14.24</v>
      </c>
      <c r="AV19" s="1238">
        <v>13.37</v>
      </c>
      <c r="AW19" s="1238">
        <v>14.08</v>
      </c>
      <c r="AX19" s="1238">
        <v>11.5</v>
      </c>
      <c r="AY19" s="1238">
        <v>12.14</v>
      </c>
      <c r="AZ19" s="1238">
        <v>11.33</v>
      </c>
      <c r="BA19" s="1238">
        <v>11.97</v>
      </c>
      <c r="BB19" s="1238">
        <v>11.17</v>
      </c>
      <c r="BC19" s="1238">
        <v>11.81</v>
      </c>
      <c r="BD19" s="150">
        <f t="shared" ref="BD19:BE21" si="6">IF($C$2=22.5,J19,IF($C$2=23.5,L19,IF($C$2=24.5,N19,IF($C$2=25.5,P19,IF($C$2=26.5,R19,IF($C$2=27.5,T19,IF($C$2=28.5,V19,IF($C$2=29.5,X19,IF($C$2=30.5,Z19,IF($C$2=31.5,AB19,IF($C$2=32.5,AD19,IF($C$2=33.5,AF19))))))))))))</f>
        <v>15.02</v>
      </c>
      <c r="BE19" s="150">
        <f t="shared" si="6"/>
        <v>15.73</v>
      </c>
      <c r="BF19" s="92">
        <f>IF('1.ข้อมูล'!$Q$16=0,BD19,IF('1.ข้อมูล'!$Q$16=1,BE19,IF('1.ข้อมูล'!$Q$16=2,BE19,)))</f>
        <v>15.02</v>
      </c>
      <c r="BI19" s="127"/>
      <c r="BJ19" s="24"/>
      <c r="BK19" s="128"/>
      <c r="BL19" s="48">
        <v>90</v>
      </c>
      <c r="BM19" s="49">
        <v>20</v>
      </c>
      <c r="BN19" s="90">
        <v>5.4724000000000004</v>
      </c>
      <c r="BO19" s="52">
        <f>-BM3/12*(BM6/100+(BM19+BM7-1)*BM4/100-(BM4+BM6)/100*(BM19+1)/2-(BM7-1))</f>
        <v>0.83333333333333337</v>
      </c>
      <c r="BP19" s="53">
        <v>4.5</v>
      </c>
      <c r="BQ19" s="50">
        <f t="shared" si="5"/>
        <v>1.1080573333333332</v>
      </c>
      <c r="BR19" s="132">
        <f>BR9/100+1</f>
        <v>1.07</v>
      </c>
      <c r="BS19" s="87">
        <f t="shared" si="3"/>
        <v>1.1856213466666665</v>
      </c>
      <c r="BT19" s="1368">
        <v>1.2025999999999999</v>
      </c>
      <c r="BU19" s="1369">
        <v>1.2196</v>
      </c>
      <c r="BV19" s="137"/>
    </row>
    <row r="20" spans="2:74" ht="21" thickBot="1">
      <c r="B20" s="148">
        <v>16</v>
      </c>
      <c r="C20" s="74">
        <f>IF($C$2=22.5,'S3'!A20,IF($C$2=23.5,'S3'!B20,IF($C$2=24.5,'S3'!C20,IF($C$2=25.5,'S3'!D20,IF($C$2=26.5,'S3'!E20,IF($C$2=27.5,'S3'!F20,IF($C$2=28.5,'S3'!G20,IF($C$2=29.5,'S3'!H20,IF($C$2=30.5,'S3'!I20,IF($C$2=31.5,'S3'!J20,IF($C$2=32.5,'S3'!K20,IF($C$2=33.5,'S3'!L20))))))))))))</f>
        <v>41.16</v>
      </c>
      <c r="D20" s="74">
        <f t="shared" si="2"/>
        <v>57.62</v>
      </c>
      <c r="E20" s="74">
        <f>IF($E$2=22.5,'S3'!Y20,IF($E$2=23.5,'S3'!Z20,IF($E$2=24.5,'S3'!AA20,IF($E$2=25.5,'S3'!AB20,IF($E$2=26.5,'S3'!AC20,IF($E$2=27.5,'S3'!AD20,IF($E$2=28.5,'S3'!AE20,IF($E$2=29.5,'S3'!AF20,IF($E$2=30.5,'S3'!AG20,IF($E$2=31.5,'S3'!AH20,IF($E$2=32.5,'S3'!AI20,IF($E$2=33.5,'S3'!AJ20))))))))))))</f>
        <v>25.5</v>
      </c>
      <c r="F20" s="74">
        <f t="shared" si="1"/>
        <v>35.700000000000003</v>
      </c>
      <c r="H20" s="24" t="s">
        <v>154</v>
      </c>
      <c r="I20" s="27" t="s">
        <v>26</v>
      </c>
      <c r="J20" s="97">
        <v>10.86</v>
      </c>
      <c r="K20" s="98">
        <v>11.43</v>
      </c>
      <c r="L20" s="97">
        <v>10.97</v>
      </c>
      <c r="M20" s="98">
        <v>11.54</v>
      </c>
      <c r="N20" s="97">
        <v>11.08</v>
      </c>
      <c r="O20" s="98">
        <v>11.65</v>
      </c>
      <c r="P20" s="1235">
        <v>11.19</v>
      </c>
      <c r="Q20" s="1236">
        <v>11.76</v>
      </c>
      <c r="R20" s="1235">
        <v>11.3</v>
      </c>
      <c r="S20" s="1236">
        <v>11.87</v>
      </c>
      <c r="T20" s="1235">
        <v>11.41</v>
      </c>
      <c r="U20" s="1236">
        <v>11.98</v>
      </c>
      <c r="V20" s="1235">
        <v>11.52</v>
      </c>
      <c r="W20" s="1236">
        <v>12.09</v>
      </c>
      <c r="X20" s="1235">
        <v>11.63</v>
      </c>
      <c r="Y20" s="1236">
        <v>12.2</v>
      </c>
      <c r="Z20" s="1236">
        <v>11.74</v>
      </c>
      <c r="AA20" s="1236">
        <v>12.31</v>
      </c>
      <c r="AB20" s="1236">
        <v>11.85</v>
      </c>
      <c r="AC20" s="1236">
        <v>12.42</v>
      </c>
      <c r="AD20" s="1237">
        <v>11.96</v>
      </c>
      <c r="AE20" s="1237">
        <v>12.53</v>
      </c>
      <c r="AF20" s="1237">
        <v>12.07</v>
      </c>
      <c r="AG20" s="1237">
        <v>12.64</v>
      </c>
      <c r="AH20" s="1237">
        <v>12.18</v>
      </c>
      <c r="AI20" s="1237">
        <v>12.75</v>
      </c>
      <c r="AJ20" s="1237">
        <v>12.29</v>
      </c>
      <c r="AK20" s="1237">
        <v>12.86</v>
      </c>
      <c r="AL20" s="1238">
        <v>12.41</v>
      </c>
      <c r="AM20" s="1238">
        <v>12.98</v>
      </c>
      <c r="AN20" s="1238">
        <v>12.52</v>
      </c>
      <c r="AO20" s="1238">
        <v>13.09</v>
      </c>
      <c r="AP20" s="1238">
        <v>12.63</v>
      </c>
      <c r="AQ20" s="1238">
        <v>13.2</v>
      </c>
      <c r="AR20" s="1238">
        <v>12.74</v>
      </c>
      <c r="AS20" s="1238">
        <v>13.31</v>
      </c>
      <c r="AT20" s="1238">
        <v>10.75</v>
      </c>
      <c r="AU20" s="1238">
        <v>11.32</v>
      </c>
      <c r="AV20" s="1238">
        <v>10.64</v>
      </c>
      <c r="AW20" s="1238">
        <v>11.21</v>
      </c>
      <c r="AX20" s="1238">
        <v>9.17</v>
      </c>
      <c r="AY20" s="1238">
        <v>9.69</v>
      </c>
      <c r="AZ20" s="1238">
        <v>9.06</v>
      </c>
      <c r="BA20" s="1238">
        <v>9.58</v>
      </c>
      <c r="BB20" s="1238">
        <v>8.9499999999999993</v>
      </c>
      <c r="BC20" s="1238">
        <v>9.4700000000000006</v>
      </c>
      <c r="BD20" s="150">
        <f t="shared" si="6"/>
        <v>11.74</v>
      </c>
      <c r="BE20" s="150">
        <f t="shared" si="6"/>
        <v>12.31</v>
      </c>
      <c r="BF20" s="92">
        <f>IF('1.ข้อมูล'!$Q$16=0,BD20,IF('1.ข้อมูล'!$Q$16=1,BE20,IF('1.ข้อมูล'!$Q$16=2,BE20,)))</f>
        <v>11.74</v>
      </c>
      <c r="BI20" s="129"/>
      <c r="BJ20" s="130"/>
      <c r="BK20" s="131"/>
      <c r="BL20" s="46">
        <v>100</v>
      </c>
      <c r="BM20" s="1370">
        <v>20</v>
      </c>
      <c r="BN20" s="1371">
        <v>5.1694000000000004</v>
      </c>
      <c r="BO20" s="54">
        <f>-BM3/12*(BM6/100+(BM20+BM7-1)*BM4/100-(BM4+BM6)/100*(BM20+1)/2-(BM7-1))</f>
        <v>0.83333333333333337</v>
      </c>
      <c r="BP20" s="1372">
        <v>4.5</v>
      </c>
      <c r="BQ20" s="56">
        <f t="shared" si="5"/>
        <v>1.1050273333333334</v>
      </c>
      <c r="BR20" s="133">
        <f>BR9/100+1</f>
        <v>1.07</v>
      </c>
      <c r="BS20" s="56">
        <f t="shared" si="3"/>
        <v>1.1823792466666667</v>
      </c>
      <c r="BT20" s="1373">
        <v>1.1990000000000001</v>
      </c>
      <c r="BU20" s="1374">
        <v>1.2156</v>
      </c>
      <c r="BV20" s="137"/>
    </row>
    <row r="21" spans="2:74">
      <c r="B21" s="148">
        <v>17</v>
      </c>
      <c r="C21" s="74">
        <f>IF($C$2=22.5,'S3'!A21,IF($C$2=23.5,'S3'!B21,IF($C$2=24.5,'S3'!C21,IF($C$2=25.5,'S3'!D21,IF($C$2=26.5,'S3'!E21,IF($C$2=27.5,'S3'!F21,IF($C$2=28.5,'S3'!G21,IF($C$2=29.5,'S3'!H21,IF($C$2=30.5,'S3'!I21,IF($C$2=31.5,'S3'!J21,IF($C$2=32.5,'S3'!K21,IF($C$2=33.5,'S3'!L21))))))))))))</f>
        <v>43.65</v>
      </c>
      <c r="D21" s="74">
        <f t="shared" si="2"/>
        <v>61.11</v>
      </c>
      <c r="E21" s="74">
        <f>IF($E$2=22.5,'S3'!Y21,IF($E$2=23.5,'S3'!Z21,IF($E$2=24.5,'S3'!AA21,IF($E$2=25.5,'S3'!AB21,IF($E$2=26.5,'S3'!AC21,IF($E$2=27.5,'S3'!AD21,IF($E$2=28.5,'S3'!AE21,IF($E$2=29.5,'S3'!AF21,IF($E$2=30.5,'S3'!AG21,IF($E$2=31.5,'S3'!AH21,IF($E$2=32.5,'S3'!AI21,IF($E$2=33.5,'S3'!AJ21))))))))))))</f>
        <v>27.06</v>
      </c>
      <c r="F21" s="74">
        <f t="shared" si="1"/>
        <v>37.880000000000003</v>
      </c>
      <c r="H21" s="24" t="s">
        <v>155</v>
      </c>
      <c r="I21" s="27" t="s">
        <v>88</v>
      </c>
      <c r="J21" s="97">
        <v>296.94</v>
      </c>
      <c r="K21" s="98">
        <v>301.13</v>
      </c>
      <c r="L21" s="97">
        <v>307.73</v>
      </c>
      <c r="M21" s="98">
        <v>311.92</v>
      </c>
      <c r="N21" s="97">
        <v>318.51</v>
      </c>
      <c r="O21" s="98">
        <v>322.7</v>
      </c>
      <c r="P21" s="1235">
        <v>329.29</v>
      </c>
      <c r="Q21" s="1236">
        <v>333.48</v>
      </c>
      <c r="R21" s="1235">
        <v>340.08</v>
      </c>
      <c r="S21" s="1236">
        <v>344.27</v>
      </c>
      <c r="T21" s="1235">
        <v>350.86</v>
      </c>
      <c r="U21" s="1236">
        <v>355.05</v>
      </c>
      <c r="V21" s="1235">
        <v>361.64</v>
      </c>
      <c r="W21" s="1236">
        <v>365.83</v>
      </c>
      <c r="X21" s="1235">
        <v>372.43</v>
      </c>
      <c r="Y21" s="1236">
        <v>376.62</v>
      </c>
      <c r="Z21" s="1236">
        <v>383.21</v>
      </c>
      <c r="AA21" s="1236">
        <v>387.4</v>
      </c>
      <c r="AB21" s="1236">
        <v>393.99</v>
      </c>
      <c r="AC21" s="1236">
        <v>398.18</v>
      </c>
      <c r="AD21" s="1237">
        <v>404.78</v>
      </c>
      <c r="AE21" s="1237">
        <v>408.97</v>
      </c>
      <c r="AF21" s="1237">
        <v>415.56</v>
      </c>
      <c r="AG21" s="1237">
        <v>419.75</v>
      </c>
      <c r="AH21" s="1237">
        <v>426.35</v>
      </c>
      <c r="AI21" s="1237">
        <v>430.54</v>
      </c>
      <c r="AJ21" s="1237">
        <v>437.13</v>
      </c>
      <c r="AK21" s="1237">
        <v>441.32</v>
      </c>
      <c r="AL21" s="1238">
        <v>447.91</v>
      </c>
      <c r="AM21" s="1238">
        <v>452.1</v>
      </c>
      <c r="AN21" s="1238">
        <v>458.7</v>
      </c>
      <c r="AO21" s="1238">
        <v>462.89</v>
      </c>
      <c r="AP21" s="1238">
        <v>469.48</v>
      </c>
      <c r="AQ21" s="1238">
        <v>473.67</v>
      </c>
      <c r="AR21" s="1238">
        <v>480.26</v>
      </c>
      <c r="AS21" s="1238">
        <v>484.45</v>
      </c>
      <c r="AT21" s="1238">
        <v>286.16000000000003</v>
      </c>
      <c r="AU21" s="1238">
        <v>290.35000000000002</v>
      </c>
      <c r="AV21" s="1238">
        <v>275.38</v>
      </c>
      <c r="AW21" s="1238">
        <v>279.57</v>
      </c>
      <c r="AX21" s="1238">
        <v>262.32</v>
      </c>
      <c r="AY21" s="1238">
        <v>266.52</v>
      </c>
      <c r="AZ21" s="1238">
        <v>251.54</v>
      </c>
      <c r="BA21" s="1238">
        <v>255.73</v>
      </c>
      <c r="BB21" s="1238">
        <v>240.76</v>
      </c>
      <c r="BC21" s="1238">
        <v>244.95</v>
      </c>
      <c r="BD21" s="150">
        <f t="shared" si="6"/>
        <v>383.21</v>
      </c>
      <c r="BE21" s="150">
        <f t="shared" si="6"/>
        <v>387.4</v>
      </c>
      <c r="BF21" s="92">
        <f>IF('1.ข้อมูล'!$Q$16=0,BD21,IF('1.ข้อมูล'!$Q$16=1,BE21,IF('1.ข้อมูล'!$Q$16=2,BE21,)))</f>
        <v>383.21</v>
      </c>
    </row>
    <row r="22" spans="2:74">
      <c r="B22" s="148">
        <v>18</v>
      </c>
      <c r="C22" s="74">
        <f>IF($C$2=22.5,'S3'!A22,IF($C$2=23.5,'S3'!B22,IF($C$2=24.5,'S3'!C22,IF($C$2=25.5,'S3'!D22,IF($C$2=26.5,'S3'!E22,IF($C$2=27.5,'S3'!F22,IF($C$2=28.5,'S3'!G22,IF($C$2=29.5,'S3'!H22,IF($C$2=30.5,'S3'!I22,IF($C$2=31.5,'S3'!J22,IF($C$2=32.5,'S3'!K22,IF($C$2=33.5,'S3'!L22))))))))))))</f>
        <v>46.14</v>
      </c>
      <c r="D22" s="74">
        <f t="shared" si="2"/>
        <v>64.599999999999994</v>
      </c>
      <c r="E22" s="74">
        <f>IF($E$2=22.5,'S3'!Y22,IF($E$2=23.5,'S3'!Z22,IF($E$2=24.5,'S3'!AA22,IF($E$2=25.5,'S3'!AB22,IF($E$2=26.5,'S3'!AC22,IF($E$2=27.5,'S3'!AD22,IF($E$2=28.5,'S3'!AE22,IF($E$2=29.5,'S3'!AF22,IF($E$2=30.5,'S3'!AG22,IF($E$2=31.5,'S3'!AH22,IF($E$2=32.5,'S3'!AI22,IF($E$2=33.5,'S3'!AJ22))))))))))))</f>
        <v>28.61</v>
      </c>
      <c r="F22" s="74">
        <f t="shared" si="1"/>
        <v>40.049999999999997</v>
      </c>
      <c r="H22" s="25" t="s">
        <v>89</v>
      </c>
      <c r="I22" s="26"/>
      <c r="J22" s="97"/>
      <c r="K22" s="98"/>
      <c r="L22" s="97"/>
      <c r="M22" s="98"/>
      <c r="N22" s="97"/>
      <c r="O22" s="98"/>
      <c r="P22" s="1235"/>
      <c r="Q22" s="1236"/>
      <c r="R22" s="1235"/>
      <c r="S22" s="1236"/>
      <c r="T22" s="1235"/>
      <c r="U22" s="1236"/>
      <c r="V22" s="1235"/>
      <c r="W22" s="1236"/>
      <c r="X22" s="1235"/>
      <c r="Y22" s="1236"/>
      <c r="Z22" s="1236"/>
      <c r="AA22" s="1236"/>
      <c r="AB22" s="1236"/>
      <c r="AC22" s="1236"/>
      <c r="AD22" s="1237"/>
      <c r="AE22" s="1237"/>
      <c r="AF22" s="1237"/>
      <c r="AG22" s="1237"/>
      <c r="AH22" s="1237"/>
      <c r="AI22" s="1237"/>
      <c r="AJ22" s="1237"/>
      <c r="AK22" s="1237"/>
      <c r="AL22" s="1238"/>
      <c r="AM22" s="1238"/>
      <c r="AN22" s="1238"/>
      <c r="AO22" s="1238"/>
      <c r="AP22" s="1238"/>
      <c r="AQ22" s="1238"/>
      <c r="AR22" s="1238"/>
      <c r="AS22" s="1238"/>
      <c r="AT22" s="1238"/>
      <c r="AU22" s="1238"/>
      <c r="AV22" s="1238"/>
      <c r="AW22" s="1238"/>
      <c r="AX22" s="1238"/>
      <c r="AY22" s="1238"/>
      <c r="AZ22" s="1238"/>
      <c r="BA22" s="1238"/>
      <c r="BB22" s="1238"/>
      <c r="BC22" s="1238"/>
      <c r="BD22" s="9"/>
      <c r="BE22" s="9"/>
      <c r="BF22" s="9"/>
      <c r="BI22" s="114" t="s">
        <v>94</v>
      </c>
      <c r="BJ22" s="36" t="s">
        <v>95</v>
      </c>
      <c r="BK22" s="13" t="s">
        <v>94</v>
      </c>
      <c r="BM22" s="89"/>
    </row>
    <row r="23" spans="2:74">
      <c r="B23" s="148">
        <v>19</v>
      </c>
      <c r="C23" s="74">
        <f>IF($C$2=22.5,'S3'!A23,IF($C$2=23.5,'S3'!B23,IF($C$2=24.5,'S3'!C23,IF($C$2=25.5,'S3'!D23,IF($C$2=26.5,'S3'!E23,IF($C$2=27.5,'S3'!F23,IF($C$2=28.5,'S3'!G23,IF($C$2=29.5,'S3'!H23,IF($C$2=30.5,'S3'!I23,IF($C$2=31.5,'S3'!J23,IF($C$2=32.5,'S3'!K23,IF($C$2=33.5,'S3'!L23))))))))))))</f>
        <v>48.64</v>
      </c>
      <c r="D23" s="74">
        <f t="shared" si="2"/>
        <v>68.099999999999994</v>
      </c>
      <c r="E23" s="74">
        <f>IF($E$2=22.5,'S3'!Y23,IF($E$2=23.5,'S3'!Z23,IF($E$2=24.5,'S3'!AA23,IF($E$2=25.5,'S3'!AB23,IF($E$2=26.5,'S3'!AC23,IF($E$2=27.5,'S3'!AD23,IF($E$2=28.5,'S3'!AE23,IF($E$2=29.5,'S3'!AF23,IF($E$2=30.5,'S3'!AG23,IF($E$2=31.5,'S3'!AH23,IF($E$2=32.5,'S3'!AI23,IF($E$2=33.5,'S3'!AJ23))))))))))))</f>
        <v>30.17</v>
      </c>
      <c r="F23" s="74">
        <f t="shared" si="1"/>
        <v>42.24</v>
      </c>
      <c r="H23" s="24" t="s">
        <v>90</v>
      </c>
      <c r="I23" s="27" t="s">
        <v>91</v>
      </c>
      <c r="J23" s="100">
        <v>14.55</v>
      </c>
      <c r="K23" s="100">
        <v>15.1</v>
      </c>
      <c r="L23" s="100">
        <v>14.81</v>
      </c>
      <c r="M23" s="100">
        <v>15.36</v>
      </c>
      <c r="N23" s="100">
        <v>15.07</v>
      </c>
      <c r="O23" s="100">
        <v>15.62</v>
      </c>
      <c r="P23" s="1242">
        <v>15.33</v>
      </c>
      <c r="Q23" s="1242">
        <v>15.88</v>
      </c>
      <c r="R23" s="1242">
        <v>15.59</v>
      </c>
      <c r="S23" s="1242">
        <v>16.14</v>
      </c>
      <c r="T23" s="1242">
        <v>15.85</v>
      </c>
      <c r="U23" s="1242">
        <v>16.399999999999999</v>
      </c>
      <c r="V23" s="1242">
        <v>16.11</v>
      </c>
      <c r="W23" s="1242">
        <v>16.66</v>
      </c>
      <c r="X23" s="1242">
        <v>16.37</v>
      </c>
      <c r="Y23" s="1242">
        <v>16.920000000000002</v>
      </c>
      <c r="Z23" s="1242">
        <v>16.63</v>
      </c>
      <c r="AA23" s="1242">
        <v>17.18</v>
      </c>
      <c r="AB23" s="1242">
        <v>16.89</v>
      </c>
      <c r="AC23" s="1242">
        <v>17.440000000000001</v>
      </c>
      <c r="AD23" s="1243">
        <v>17.149999999999999</v>
      </c>
      <c r="AE23" s="1243">
        <v>17.7</v>
      </c>
      <c r="AF23" s="1243">
        <v>17.41</v>
      </c>
      <c r="AG23" s="1243">
        <v>17.96</v>
      </c>
      <c r="AH23" s="1243">
        <v>17.670000000000002</v>
      </c>
      <c r="AI23" s="1243">
        <v>18.22</v>
      </c>
      <c r="AJ23" s="1243">
        <v>17.93</v>
      </c>
      <c r="AK23" s="1243">
        <v>18.48</v>
      </c>
      <c r="AL23" s="1244">
        <v>18.190000000000001</v>
      </c>
      <c r="AM23" s="1244">
        <v>18.739999999999998</v>
      </c>
      <c r="AN23" s="1244">
        <v>18.45</v>
      </c>
      <c r="AO23" s="1244">
        <v>19</v>
      </c>
      <c r="AP23" s="1244">
        <v>18.71</v>
      </c>
      <c r="AQ23" s="1244">
        <v>19.260000000000002</v>
      </c>
      <c r="AR23" s="1244">
        <v>18.97</v>
      </c>
      <c r="AS23" s="1244">
        <v>19.52</v>
      </c>
      <c r="AT23" s="1244">
        <v>14.29</v>
      </c>
      <c r="AU23" s="1244">
        <v>14.84</v>
      </c>
      <c r="AV23" s="1244">
        <v>14.03</v>
      </c>
      <c r="AW23" s="1244">
        <v>14.58</v>
      </c>
      <c r="AX23" s="1244">
        <v>11.88</v>
      </c>
      <c r="AY23" s="1244">
        <v>12.36</v>
      </c>
      <c r="AZ23" s="1244">
        <v>11.62</v>
      </c>
      <c r="BA23" s="1244">
        <v>12.1</v>
      </c>
      <c r="BB23" s="1244">
        <v>11.36</v>
      </c>
      <c r="BC23" s="1244">
        <v>11.84</v>
      </c>
      <c r="BD23" s="150">
        <f t="shared" ref="BD23:BE25" si="7">IF($C$2=22.5,J23,IF($C$2=23.5,L23,IF($C$2=24.5,N23,IF($C$2=25.5,P23,IF($C$2=26.5,R23,IF($C$2=27.5,T23,IF($C$2=28.5,V23,IF($C$2=29.5,X23,IF($C$2=30.5,Z23,IF($C$2=31.5,AB23,IF($C$2=32.5,AD23,IF($C$2=33.5,AF23))))))))))))</f>
        <v>16.63</v>
      </c>
      <c r="BE23" s="150">
        <f t="shared" si="7"/>
        <v>17.18</v>
      </c>
      <c r="BF23" s="92">
        <f>IF('1.ข้อมูล'!$Q$16=0,BD23,IF('1.ข้อมูล'!$Q$16=1,BE23,IF('1.ข้อมูล'!$Q$16=2,BE23,)))</f>
        <v>16.63</v>
      </c>
      <c r="BI23" s="113">
        <f>'1.ข้อมูล'!$E$163</f>
        <v>5</v>
      </c>
      <c r="BJ23" s="33">
        <v>30</v>
      </c>
      <c r="BK23" s="37">
        <v>0.8</v>
      </c>
      <c r="BL23" s="35"/>
    </row>
    <row r="24" spans="2:74">
      <c r="B24" s="148">
        <v>20</v>
      </c>
      <c r="C24" s="74">
        <f>IF($C$2=22.5,'S3'!A24,IF($C$2=23.5,'S3'!B24,IF($C$2=24.5,'S3'!C24,IF($C$2=25.5,'S3'!D24,IF($C$2=26.5,'S3'!E24,IF($C$2=27.5,'S3'!F24,IF($C$2=28.5,'S3'!G24,IF($C$2=29.5,'S3'!H24,IF($C$2=30.5,'S3'!I24,IF($C$2=31.5,'S3'!J24,IF($C$2=32.5,'S3'!K24,IF($C$2=33.5,'S3'!L24))))))))))))</f>
        <v>51.14</v>
      </c>
      <c r="D24" s="74">
        <f t="shared" si="2"/>
        <v>71.599999999999994</v>
      </c>
      <c r="E24" s="74">
        <f>IF($E$2=22.5,'S3'!Y24,IF($E$2=23.5,'S3'!Z24,IF($E$2=24.5,'S3'!AA24,IF($E$2=25.5,'S3'!AB24,IF($E$2=26.5,'S3'!AC24,IF($E$2=27.5,'S3'!AD24,IF($E$2=28.5,'S3'!AE24,IF($E$2=29.5,'S3'!AF24,IF($E$2=30.5,'S3'!AG24,IF($E$2=31.5,'S3'!AH24,IF($E$2=32.5,'S3'!AI24,IF($E$2=33.5,'S3'!AJ24))))))))))))</f>
        <v>31.72</v>
      </c>
      <c r="F24" s="74">
        <f t="shared" si="1"/>
        <v>44.41</v>
      </c>
      <c r="H24" s="24" t="s">
        <v>92</v>
      </c>
      <c r="I24" s="27" t="s">
        <v>91</v>
      </c>
      <c r="J24" s="100">
        <v>2.4</v>
      </c>
      <c r="K24" s="100">
        <v>2.5</v>
      </c>
      <c r="L24" s="100">
        <v>2.44</v>
      </c>
      <c r="M24" s="100">
        <v>2.54</v>
      </c>
      <c r="N24" s="100">
        <v>2.48</v>
      </c>
      <c r="O24" s="100">
        <v>2.58</v>
      </c>
      <c r="P24" s="1242">
        <v>2.5299999999999998</v>
      </c>
      <c r="Q24" s="1242">
        <v>2.63</v>
      </c>
      <c r="R24" s="1242">
        <v>2.57</v>
      </c>
      <c r="S24" s="1242">
        <v>2.67</v>
      </c>
      <c r="T24" s="1242">
        <v>2.62</v>
      </c>
      <c r="U24" s="1242">
        <v>2.72</v>
      </c>
      <c r="V24" s="1242">
        <v>2.66</v>
      </c>
      <c r="W24" s="1242">
        <v>2.76</v>
      </c>
      <c r="X24" s="1242">
        <v>2.7</v>
      </c>
      <c r="Y24" s="1242">
        <v>2.8</v>
      </c>
      <c r="Z24" s="1242">
        <v>2.75</v>
      </c>
      <c r="AA24" s="1242">
        <v>2.85</v>
      </c>
      <c r="AB24" s="1242">
        <v>2.79</v>
      </c>
      <c r="AC24" s="1242">
        <v>2.89</v>
      </c>
      <c r="AD24" s="1243">
        <v>2.84</v>
      </c>
      <c r="AE24" s="1243">
        <v>2.94</v>
      </c>
      <c r="AF24" s="1243">
        <v>2.88</v>
      </c>
      <c r="AG24" s="1243">
        <v>2.98</v>
      </c>
      <c r="AH24" s="1243">
        <v>2.92</v>
      </c>
      <c r="AI24" s="1243">
        <v>3.02</v>
      </c>
      <c r="AJ24" s="1243">
        <v>2.97</v>
      </c>
      <c r="AK24" s="1243">
        <v>3.07</v>
      </c>
      <c r="AL24" s="1244">
        <v>3.01</v>
      </c>
      <c r="AM24" s="1244">
        <v>3.31</v>
      </c>
      <c r="AN24" s="1244">
        <v>3.05</v>
      </c>
      <c r="AO24" s="1244">
        <v>3.15</v>
      </c>
      <c r="AP24" s="1244">
        <v>3.1</v>
      </c>
      <c r="AQ24" s="1244">
        <v>3.2</v>
      </c>
      <c r="AR24" s="1244">
        <v>3.14</v>
      </c>
      <c r="AS24" s="1244">
        <v>3.24</v>
      </c>
      <c r="AT24" s="1244">
        <v>2.35</v>
      </c>
      <c r="AU24" s="1244">
        <v>2.4500000000000002</v>
      </c>
      <c r="AV24" s="1244">
        <v>2.31</v>
      </c>
      <c r="AW24" s="1244">
        <v>2.41</v>
      </c>
      <c r="AX24" s="1244">
        <v>2.0499999999999998</v>
      </c>
      <c r="AY24" s="1244">
        <v>2.14</v>
      </c>
      <c r="AZ24" s="1244">
        <v>2.0099999999999998</v>
      </c>
      <c r="BA24" s="1244">
        <v>2.1</v>
      </c>
      <c r="BB24" s="1244">
        <v>1.97</v>
      </c>
      <c r="BC24" s="1244">
        <v>2.06</v>
      </c>
      <c r="BD24" s="150">
        <f t="shared" si="7"/>
        <v>2.75</v>
      </c>
      <c r="BE24" s="150">
        <f t="shared" si="7"/>
        <v>2.85</v>
      </c>
      <c r="BF24" s="92">
        <f>IF('1.ข้อมูล'!$Q$16=0,BD24,IF('1.ข้อมูล'!$Q$16=1,BE24,IF('1.ข้อมูล'!$Q$16=2,BE24,)))</f>
        <v>2.75</v>
      </c>
      <c r="BI24" s="33">
        <f>BI23*10</f>
        <v>50</v>
      </c>
      <c r="BJ24" s="33">
        <v>40</v>
      </c>
      <c r="BK24" s="37">
        <v>0.9</v>
      </c>
    </row>
    <row r="25" spans="2:74">
      <c r="B25" s="148">
        <v>21</v>
      </c>
      <c r="C25" s="74">
        <f>IF($C$2=22.5,'S3'!A25,IF($C$2=23.5,'S3'!B25,IF($C$2=24.5,'S3'!C25,IF($C$2=25.5,'S3'!D25,IF($C$2=26.5,'S3'!E25,IF($C$2=27.5,'S3'!F25,IF($C$2=28.5,'S3'!G25,IF($C$2=29.5,'S3'!H25,IF($C$2=30.5,'S3'!I25,IF($C$2=31.5,'S3'!J25,IF($C$2=32.5,'S3'!K25,IF($C$2=33.5,'S3'!L25))))))))))))</f>
        <v>53.63</v>
      </c>
      <c r="D25" s="74">
        <f t="shared" si="2"/>
        <v>75.08</v>
      </c>
      <c r="E25" s="74">
        <f>IF($E$2=22.5,'S3'!Y25,IF($E$2=23.5,'S3'!Z25,IF($E$2=24.5,'S3'!AA25,IF($E$2=25.5,'S3'!AB25,IF($E$2=26.5,'S3'!AC25,IF($E$2=27.5,'S3'!AD25,IF($E$2=28.5,'S3'!AE25,IF($E$2=29.5,'S3'!AF25,IF($E$2=30.5,'S3'!AG25,IF($E$2=31.5,'S3'!AH25,IF($E$2=32.5,'S3'!AI25,IF($E$2=33.5,'S3'!AJ25))))))))))))</f>
        <v>33.28</v>
      </c>
      <c r="F25" s="74">
        <f t="shared" si="1"/>
        <v>46.59</v>
      </c>
      <c r="H25" s="24" t="s">
        <v>93</v>
      </c>
      <c r="I25" s="27" t="s">
        <v>91</v>
      </c>
      <c r="J25" s="100">
        <v>10.96</v>
      </c>
      <c r="K25" s="100">
        <v>11.48</v>
      </c>
      <c r="L25" s="100">
        <v>11.13</v>
      </c>
      <c r="M25" s="100">
        <v>11.65</v>
      </c>
      <c r="N25" s="100">
        <v>11.31</v>
      </c>
      <c r="O25" s="100">
        <v>11.83</v>
      </c>
      <c r="P25" s="1242">
        <v>11.48</v>
      </c>
      <c r="Q25" s="1242">
        <v>12</v>
      </c>
      <c r="R25" s="1242">
        <v>11.65</v>
      </c>
      <c r="S25" s="1242">
        <v>12.17</v>
      </c>
      <c r="T25" s="1242">
        <v>11.83</v>
      </c>
      <c r="U25" s="1242">
        <v>12.35</v>
      </c>
      <c r="V25" s="1242">
        <v>12</v>
      </c>
      <c r="W25" s="1242">
        <v>12.52</v>
      </c>
      <c r="X25" s="1242">
        <v>12.17</v>
      </c>
      <c r="Y25" s="1242">
        <v>12.69</v>
      </c>
      <c r="Z25" s="1242">
        <v>12.34</v>
      </c>
      <c r="AA25" s="1242">
        <v>12.86</v>
      </c>
      <c r="AB25" s="1242">
        <v>12.52</v>
      </c>
      <c r="AC25" s="1242">
        <v>13.04</v>
      </c>
      <c r="AD25" s="1243">
        <v>12.69</v>
      </c>
      <c r="AE25" s="1243">
        <v>13.21</v>
      </c>
      <c r="AF25" s="1243">
        <v>12.86</v>
      </c>
      <c r="AG25" s="1243">
        <v>13.38</v>
      </c>
      <c r="AH25" s="1243">
        <v>13.03</v>
      </c>
      <c r="AI25" s="1243">
        <v>13.55</v>
      </c>
      <c r="AJ25" s="1243">
        <v>13.21</v>
      </c>
      <c r="AK25" s="1243">
        <v>13.73</v>
      </c>
      <c r="AL25" s="1244">
        <v>13.38</v>
      </c>
      <c r="AM25" s="1244">
        <v>13.9</v>
      </c>
      <c r="AN25" s="1244">
        <v>13.55</v>
      </c>
      <c r="AO25" s="1244">
        <v>14.07</v>
      </c>
      <c r="AP25" s="1244">
        <v>13.72</v>
      </c>
      <c r="AQ25" s="1244">
        <v>14.24</v>
      </c>
      <c r="AR25" s="1244">
        <v>13.9</v>
      </c>
      <c r="AS25" s="1244">
        <v>14.42</v>
      </c>
      <c r="AT25" s="1244">
        <v>10.79</v>
      </c>
      <c r="AU25" s="1244">
        <v>11.31</v>
      </c>
      <c r="AV25" s="1244">
        <v>10.62</v>
      </c>
      <c r="AW25" s="1244">
        <v>11.14</v>
      </c>
      <c r="AX25" s="1244">
        <v>9.42</v>
      </c>
      <c r="AY25" s="1244">
        <v>9.9</v>
      </c>
      <c r="AZ25" s="1244">
        <v>9.25</v>
      </c>
      <c r="BA25" s="1244">
        <v>9.73</v>
      </c>
      <c r="BB25" s="1244">
        <v>9.08</v>
      </c>
      <c r="BC25" s="1244">
        <v>9.56</v>
      </c>
      <c r="BD25" s="150">
        <f t="shared" si="7"/>
        <v>12.34</v>
      </c>
      <c r="BE25" s="150">
        <f t="shared" si="7"/>
        <v>12.86</v>
      </c>
      <c r="BF25" s="92">
        <f>IF('1.ข้อมูล'!$Q$16=0,BD25,IF('1.ข้อมูล'!$Q$16=1,BE25,IF('1.ข้อมูล'!$Q$16=2,BE25,)))</f>
        <v>12.34</v>
      </c>
      <c r="BI25" s="33">
        <f>VLOOKUP(BI24,BJ23:BK28,2)</f>
        <v>1</v>
      </c>
      <c r="BJ25" s="33">
        <v>50</v>
      </c>
      <c r="BK25" s="37">
        <v>1</v>
      </c>
    </row>
    <row r="26" spans="2:74">
      <c r="B26" s="148">
        <v>22</v>
      </c>
      <c r="C26" s="74">
        <f>IF($C$2=22.5,'S3'!A26,IF($C$2=23.5,'S3'!B26,IF($C$2=24.5,'S3'!C26,IF($C$2=25.5,'S3'!D26,IF($C$2=26.5,'S3'!E26,IF($C$2=27.5,'S3'!F26,IF($C$2=28.5,'S3'!G26,IF($C$2=29.5,'S3'!H26,IF($C$2=30.5,'S3'!I26,IF($C$2=31.5,'S3'!J26,IF($C$2=32.5,'S3'!K26,IF($C$2=33.5,'S3'!L26))))))))))))</f>
        <v>56.13</v>
      </c>
      <c r="D26" s="74">
        <f t="shared" si="2"/>
        <v>78.58</v>
      </c>
      <c r="E26" s="74">
        <f>IF($E$2=22.5,'S3'!Y26,IF($E$2=23.5,'S3'!Z26,IF($E$2=24.5,'S3'!AA26,IF($E$2=25.5,'S3'!AB26,IF($E$2=26.5,'S3'!AC26,IF($E$2=27.5,'S3'!AD26,IF($E$2=28.5,'S3'!AE26,IF($E$2=29.5,'S3'!AF26,IF($E$2=30.5,'S3'!AG26,IF($E$2=31.5,'S3'!AH26,IF($E$2=32.5,'S3'!AI26,IF($E$2=33.5,'S3'!AJ26))))))))))))</f>
        <v>34.83</v>
      </c>
      <c r="F26" s="74">
        <f t="shared" si="1"/>
        <v>48.76</v>
      </c>
      <c r="H26" s="25" t="s">
        <v>159</v>
      </c>
      <c r="I26" s="26"/>
      <c r="J26" s="97"/>
      <c r="K26" s="98"/>
      <c r="L26" s="97"/>
      <c r="M26" s="98"/>
      <c r="N26" s="97"/>
      <c r="O26" s="98"/>
      <c r="P26" s="1235"/>
      <c r="Q26" s="1236"/>
      <c r="R26" s="1235"/>
      <c r="S26" s="1236"/>
      <c r="T26" s="1235"/>
      <c r="U26" s="1236"/>
      <c r="V26" s="1235"/>
      <c r="W26" s="1236"/>
      <c r="X26" s="1235"/>
      <c r="Y26" s="1236"/>
      <c r="Z26" s="1236"/>
      <c r="AA26" s="1236"/>
      <c r="AB26" s="1236"/>
      <c r="AC26" s="1236"/>
      <c r="AD26" s="1237"/>
      <c r="AE26" s="1237"/>
      <c r="AF26" s="1237"/>
      <c r="AG26" s="1237"/>
      <c r="AH26" s="1237"/>
      <c r="AI26" s="1237"/>
      <c r="AJ26" s="1237"/>
      <c r="AK26" s="1237"/>
      <c r="AL26" s="1238"/>
      <c r="AM26" s="1238"/>
      <c r="AN26" s="1238"/>
      <c r="AO26" s="1238"/>
      <c r="AP26" s="1238"/>
      <c r="AQ26" s="1238"/>
      <c r="AR26" s="1238"/>
      <c r="AS26" s="1238"/>
      <c r="AT26" s="1238"/>
      <c r="AU26" s="1238"/>
      <c r="AV26" s="1238"/>
      <c r="AW26" s="1238"/>
      <c r="AX26" s="1238"/>
      <c r="AY26" s="1238"/>
      <c r="AZ26" s="1238"/>
      <c r="BA26" s="1238"/>
      <c r="BB26" s="1238"/>
      <c r="BC26" s="1238"/>
      <c r="BD26" s="9"/>
      <c r="BE26" s="9"/>
      <c r="BF26" s="9"/>
      <c r="BI26" s="33"/>
      <c r="BJ26" s="33">
        <v>60</v>
      </c>
      <c r="BK26" s="37">
        <v>1.6</v>
      </c>
    </row>
    <row r="27" spans="2:74">
      <c r="B27" s="148">
        <v>23</v>
      </c>
      <c r="C27" s="74">
        <f>IF($C$2=22.5,'S3'!A27,IF($C$2=23.5,'S3'!B27,IF($C$2=24.5,'S3'!C27,IF($C$2=25.5,'S3'!D27,IF($C$2=26.5,'S3'!E27,IF($C$2=27.5,'S3'!F27,IF($C$2=28.5,'S3'!G27,IF($C$2=29.5,'S3'!H27,IF($C$2=30.5,'S3'!I27,IF($C$2=31.5,'S3'!J27,IF($C$2=32.5,'S3'!K27,IF($C$2=33.5,'S3'!L27))))))))))))</f>
        <v>58.61</v>
      </c>
      <c r="D27" s="74">
        <f t="shared" si="2"/>
        <v>82.05</v>
      </c>
      <c r="E27" s="74">
        <f>IF($E$2=22.5,'S3'!Y27,IF($E$2=23.5,'S3'!Z27,IF($E$2=24.5,'S3'!AA27,IF($E$2=25.5,'S3'!AB27,IF($E$2=26.5,'S3'!AC27,IF($E$2=27.5,'S3'!AD27,IF($E$2=28.5,'S3'!AE27,IF($E$2=29.5,'S3'!AF27,IF($E$2=30.5,'S3'!AG27,IF($E$2=31.5,'S3'!AH27,IF($E$2=32.5,'S3'!AI27,IF($E$2=33.5,'S3'!AJ27))))))))))))</f>
        <v>36.39</v>
      </c>
      <c r="F27" s="74">
        <f t="shared" si="1"/>
        <v>50.95</v>
      </c>
      <c r="H27" s="24" t="s">
        <v>160</v>
      </c>
      <c r="I27" s="27" t="s">
        <v>91</v>
      </c>
      <c r="J27" s="100">
        <v>34.58</v>
      </c>
      <c r="K27" s="100">
        <v>36.43</v>
      </c>
      <c r="L27" s="100">
        <v>34.76</v>
      </c>
      <c r="M27" s="100">
        <v>36.61</v>
      </c>
      <c r="N27" s="100">
        <v>34.93</v>
      </c>
      <c r="O27" s="100">
        <v>36.78</v>
      </c>
      <c r="P27" s="1242">
        <v>35.11</v>
      </c>
      <c r="Q27" s="1242">
        <v>36.96</v>
      </c>
      <c r="R27" s="1242">
        <v>35.29</v>
      </c>
      <c r="S27" s="1242">
        <v>37.14</v>
      </c>
      <c r="T27" s="1242">
        <v>35.47</v>
      </c>
      <c r="U27" s="1242">
        <v>37.32</v>
      </c>
      <c r="V27" s="1242">
        <v>35.64</v>
      </c>
      <c r="W27" s="1242">
        <v>37.49</v>
      </c>
      <c r="X27" s="1242">
        <v>35.82</v>
      </c>
      <c r="Y27" s="1242">
        <v>37.67</v>
      </c>
      <c r="Z27" s="1242">
        <v>36</v>
      </c>
      <c r="AA27" s="1242">
        <v>37.85</v>
      </c>
      <c r="AB27" s="1242">
        <v>36.18</v>
      </c>
      <c r="AC27" s="1242">
        <v>38.03</v>
      </c>
      <c r="AD27" s="1243">
        <v>36.35</v>
      </c>
      <c r="AE27" s="1243">
        <v>38.200000000000003</v>
      </c>
      <c r="AF27" s="1243">
        <v>36.53</v>
      </c>
      <c r="AG27" s="1243">
        <v>38.380000000000003</v>
      </c>
      <c r="AH27" s="1243">
        <v>36.71</v>
      </c>
      <c r="AI27" s="1243">
        <v>38.56</v>
      </c>
      <c r="AJ27" s="1243">
        <v>36.89</v>
      </c>
      <c r="AK27" s="1243">
        <v>38.74</v>
      </c>
      <c r="AL27" s="1244">
        <v>37.06</v>
      </c>
      <c r="AM27" s="1244">
        <v>38.909999999999997</v>
      </c>
      <c r="AN27" s="1244">
        <v>37.24</v>
      </c>
      <c r="AO27" s="1244">
        <v>39.090000000000003</v>
      </c>
      <c r="AP27" s="1244">
        <v>37.42</v>
      </c>
      <c r="AQ27" s="1244">
        <v>39.270000000000003</v>
      </c>
      <c r="AR27" s="1244">
        <v>37.6</v>
      </c>
      <c r="AS27" s="1244">
        <v>39.450000000000003</v>
      </c>
      <c r="AT27" s="1244">
        <v>34.4</v>
      </c>
      <c r="AU27" s="1244">
        <v>36.25</v>
      </c>
      <c r="AV27" s="1244">
        <v>34.22</v>
      </c>
      <c r="AW27" s="1244">
        <v>36.07</v>
      </c>
      <c r="AX27" s="1244">
        <v>40.92</v>
      </c>
      <c r="AY27" s="1244">
        <v>44.27</v>
      </c>
      <c r="AZ27" s="1244">
        <v>40.74</v>
      </c>
      <c r="BA27" s="1244">
        <v>44.09</v>
      </c>
      <c r="BB27" s="1244">
        <v>40.56</v>
      </c>
      <c r="BC27" s="1244">
        <v>43.91</v>
      </c>
      <c r="BD27" s="150">
        <f>IF($C$2=22.5,J27,IF($C$2=23.5,L27,IF($C$2=24.5,N27,IF($C$2=25.5,P27,IF($C$2=26.5,R27,IF($C$2=27.5,T27,IF($C$2=28.5,V27,IF($C$2=29.5,X27,IF($C$2=30.5,Z27,IF($C$2=31.5,AB27,IF($C$2=32.5,AD27,IF($C$2=33.5,AF27))))))))))))</f>
        <v>36</v>
      </c>
      <c r="BE27" s="150">
        <f>IF($C$2=22.5,K27,IF($C$2=23.5,M27,IF($C$2=24.5,O27,IF($C$2=25.5,Q27,IF($C$2=26.5,S27,IF($C$2=27.5,U27,IF($C$2=28.5,W27,IF($C$2=29.5,Y27,IF($C$2=30.5,AA27,IF($C$2=31.5,AC27,IF($C$2=32.5,AE27,IF($C$2=33.5,AG27))))))))))))</f>
        <v>37.85</v>
      </c>
      <c r="BF27" s="92">
        <f>IF('1.ข้อมูล'!$Q$16=0,BD27,IF('1.ข้อมูล'!$Q$16=1,BE27,IF('1.ข้อมูล'!$Q$16=2,BE27,)))</f>
        <v>36</v>
      </c>
      <c r="BI27" s="33"/>
      <c r="BJ27" s="33">
        <v>70</v>
      </c>
      <c r="BK27" s="37">
        <v>1.7</v>
      </c>
    </row>
    <row r="28" spans="2:74">
      <c r="B28" s="148">
        <v>24</v>
      </c>
      <c r="C28" s="74">
        <f>IF($C$2=22.5,'S3'!A28,IF($C$2=23.5,'S3'!B28,IF($C$2=24.5,'S3'!C28,IF($C$2=25.5,'S3'!D28,IF($C$2=26.5,'S3'!E28,IF($C$2=27.5,'S3'!F28,IF($C$2=28.5,'S3'!G28,IF($C$2=29.5,'S3'!H28,IF($C$2=30.5,'S3'!I28,IF($C$2=31.5,'S3'!J28,IF($C$2=32.5,'S3'!K28,IF($C$2=33.5,'S3'!L28))))))))))))</f>
        <v>61.11</v>
      </c>
      <c r="D28" s="74">
        <f t="shared" si="2"/>
        <v>85.55</v>
      </c>
      <c r="E28" s="74">
        <f>IF($E$2=22.5,'S3'!Y28,IF($E$2=23.5,'S3'!Z28,IF($E$2=24.5,'S3'!AA28,IF($E$2=25.5,'S3'!AB28,IF($E$2=26.5,'S3'!AC28,IF($E$2=27.5,'S3'!AD28,IF($E$2=28.5,'S3'!AE28,IF($E$2=29.5,'S3'!AF28,IF($E$2=30.5,'S3'!AG28,IF($E$2=31.5,'S3'!AH28,IF($E$2=32.5,'S3'!AI28,IF($E$2=33.5,'S3'!AJ28))))))))))))</f>
        <v>37.94</v>
      </c>
      <c r="F28" s="74">
        <f t="shared" si="1"/>
        <v>53.12</v>
      </c>
      <c r="H28" s="631" t="s">
        <v>162</v>
      </c>
      <c r="I28" s="24"/>
      <c r="J28" s="9"/>
      <c r="K28" s="9"/>
      <c r="L28" s="9"/>
      <c r="M28" s="9"/>
      <c r="N28" s="9"/>
      <c r="O28" s="9"/>
      <c r="P28" s="1245"/>
      <c r="Q28" s="1245"/>
      <c r="R28" s="1245"/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6"/>
      <c r="AE28" s="1246"/>
      <c r="AF28" s="1246"/>
      <c r="AG28" s="1246"/>
      <c r="AH28" s="1246"/>
      <c r="AI28" s="1246"/>
      <c r="AJ28" s="1246"/>
      <c r="AK28" s="1246"/>
      <c r="AL28" s="1247"/>
      <c r="AM28" s="1247"/>
      <c r="AN28" s="1247"/>
      <c r="AO28" s="1247"/>
      <c r="AP28" s="1247"/>
      <c r="AQ28" s="1247"/>
      <c r="AR28" s="1247"/>
      <c r="AS28" s="1247"/>
      <c r="AT28" s="1247"/>
      <c r="AU28" s="1247"/>
      <c r="AV28" s="1247"/>
      <c r="AW28" s="1247"/>
      <c r="AX28" s="1247"/>
      <c r="AY28" s="1247"/>
      <c r="AZ28" s="1247"/>
      <c r="BA28" s="1247"/>
      <c r="BB28" s="1247"/>
      <c r="BC28" s="1247"/>
      <c r="BD28" s="9"/>
      <c r="BE28" s="9"/>
      <c r="BF28" s="9"/>
      <c r="BI28" s="29"/>
      <c r="BJ28" s="38">
        <v>80</v>
      </c>
      <c r="BK28" s="39">
        <v>1.8</v>
      </c>
    </row>
    <row r="29" spans="2:74">
      <c r="B29" s="148">
        <v>25</v>
      </c>
      <c r="C29" s="74">
        <f>IF($C$2=22.5,'S3'!A29,IF($C$2=23.5,'S3'!B29,IF($C$2=24.5,'S3'!C29,IF($C$2=25.5,'S3'!D29,IF($C$2=26.5,'S3'!E29,IF($C$2=27.5,'S3'!F29,IF($C$2=28.5,'S3'!G29,IF($C$2=29.5,'S3'!H29,IF($C$2=30.5,'S3'!I29,IF($C$2=31.5,'S3'!J29,IF($C$2=32.5,'S3'!K29,IF($C$2=33.5,'S3'!L29))))))))))))</f>
        <v>63.61</v>
      </c>
      <c r="D29" s="74">
        <f t="shared" si="2"/>
        <v>89.05</v>
      </c>
      <c r="E29" s="74">
        <f>IF($E$2=22.5,'S3'!Y29,IF($E$2=23.5,'S3'!Z29,IF($E$2=24.5,'S3'!AA29,IF($E$2=25.5,'S3'!AB29,IF($E$2=26.5,'S3'!AC29,IF($E$2=27.5,'S3'!AD29,IF($E$2=28.5,'S3'!AE29,IF($E$2=29.5,'S3'!AF29,IF($E$2=30.5,'S3'!AG29,IF($E$2=31.5,'S3'!AH29,IF($E$2=32.5,'S3'!AI29,IF($E$2=33.5,'S3'!AJ29))))))))))))</f>
        <v>39.5</v>
      </c>
      <c r="F29" s="74">
        <f t="shared" si="1"/>
        <v>55.3</v>
      </c>
      <c r="H29" s="135" t="s">
        <v>1335</v>
      </c>
      <c r="I29" s="27" t="s">
        <v>91</v>
      </c>
      <c r="J29" s="135">
        <v>3.41</v>
      </c>
      <c r="K29" s="135">
        <v>3.55</v>
      </c>
      <c r="L29" s="135">
        <v>3.44</v>
      </c>
      <c r="M29" s="136">
        <v>3.58</v>
      </c>
      <c r="N29" s="135">
        <v>3.47</v>
      </c>
      <c r="O29" s="135">
        <v>3.61</v>
      </c>
      <c r="P29" s="1248">
        <v>3.5</v>
      </c>
      <c r="Q29" s="1248">
        <v>3.64</v>
      </c>
      <c r="R29" s="1248">
        <v>3.54</v>
      </c>
      <c r="S29" s="1248">
        <v>3.68</v>
      </c>
      <c r="T29" s="1249">
        <v>3.57</v>
      </c>
      <c r="U29" s="1248">
        <v>3.71</v>
      </c>
      <c r="V29" s="1249">
        <v>3.6</v>
      </c>
      <c r="W29" s="1327" t="s">
        <v>1190</v>
      </c>
      <c r="X29" s="1248">
        <v>3.63</v>
      </c>
      <c r="Y29" s="1248">
        <v>3.77</v>
      </c>
      <c r="Z29" s="1249">
        <v>1.73</v>
      </c>
      <c r="AA29" s="1248">
        <v>1.79</v>
      </c>
      <c r="AB29" s="1248">
        <v>3.7</v>
      </c>
      <c r="AC29" s="1248">
        <v>3.84</v>
      </c>
      <c r="AD29" s="1250">
        <v>3.73</v>
      </c>
      <c r="AE29" s="1250">
        <v>3.87</v>
      </c>
      <c r="AF29" s="1251">
        <v>3.76</v>
      </c>
      <c r="AG29" s="1250">
        <v>3.9</v>
      </c>
      <c r="AH29" s="1250">
        <v>3.79</v>
      </c>
      <c r="AI29" s="1250">
        <v>3.93</v>
      </c>
      <c r="AJ29" s="1250">
        <v>3.83</v>
      </c>
      <c r="AK29" s="1250">
        <v>3.97</v>
      </c>
      <c r="AL29" s="1252">
        <v>3.86</v>
      </c>
      <c r="AM29" s="1253">
        <v>4</v>
      </c>
      <c r="AN29" s="1252">
        <v>3.89</v>
      </c>
      <c r="AO29" s="1252">
        <v>4.03</v>
      </c>
      <c r="AP29" s="1252">
        <v>3.92</v>
      </c>
      <c r="AQ29" s="1252">
        <v>4.0599999999999996</v>
      </c>
      <c r="AR29" s="1252">
        <v>3.96</v>
      </c>
      <c r="AS29" s="1252">
        <v>4.0999999999999996</v>
      </c>
      <c r="AT29" s="1252">
        <v>3.38</v>
      </c>
      <c r="AU29" s="1252">
        <v>3.52</v>
      </c>
      <c r="AV29" s="1252">
        <v>3.34</v>
      </c>
      <c r="AW29" s="1252">
        <v>3.48</v>
      </c>
      <c r="AX29" s="1252">
        <v>2.74</v>
      </c>
      <c r="AY29" s="1252">
        <v>2.86</v>
      </c>
      <c r="AZ29" s="1252">
        <v>2.71</v>
      </c>
      <c r="BA29" s="1252">
        <v>2.83</v>
      </c>
      <c r="BB29" s="1252">
        <v>2.68</v>
      </c>
      <c r="BC29" s="1252">
        <v>2.8</v>
      </c>
      <c r="BD29" s="150">
        <f>IF($C$2=22.5,J29,IF($C$2=23.5,L29,IF($C$2=24.5,N29,IF($C$2=25.5,P29,IF($C$2=26.5,R29,IF($C$2=27.5,T29,IF($C$2=28.5,V29,IF($C$2=29.5,X29,IF($C$2=30.5,Z29,IF($C$2=31.5,AB29,IF($C$2=32.5,AD29,IF($C$2=33.5,AF29))))))))))))</f>
        <v>1.73</v>
      </c>
      <c r="BE29" s="150">
        <f>IF($C$2=22.5,K29,IF($C$2=23.5,M29,IF($C$2=24.5,O29,IF($C$2=25.5,Q29,IF($C$2=26.5,S29,IF($C$2=27.5,U29,IF($C$2=28.5,W29,IF($C$2=29.5,Y29,IF($C$2=30.5,AA29,IF($C$2=31.5,AC29,IF($C$2=32.5,AE29,IF($C$2=33.5,AG29))))))))))))</f>
        <v>1.79</v>
      </c>
      <c r="BF29" s="92">
        <f>IF('1.ข้อมูล'!$Q$16=0,BD29,IF('1.ข้อมูล'!$Q$16=1,BE29,IF('1.ข้อมูล'!$Q$16=2,BE29,)))</f>
        <v>1.73</v>
      </c>
    </row>
    <row r="30" spans="2:74" ht="21" thickBot="1">
      <c r="B30" s="148">
        <v>26</v>
      </c>
      <c r="C30" s="74">
        <f>IF($C$2=22.5,'S3'!A30,IF($C$2=23.5,'S3'!B30,IF($C$2=24.5,'S3'!C30,IF($C$2=25.5,'S3'!D30,IF($C$2=26.5,'S3'!E30,IF($C$2=27.5,'S3'!F30,IF($C$2=28.5,'S3'!G30,IF($C$2=29.5,'S3'!H30,IF($C$2=30.5,'S3'!I30,IF($C$2=31.5,'S3'!J30,IF($C$2=32.5,'S3'!K30,IF($C$2=33.5,'S3'!L30))))))))))))</f>
        <v>66.099999999999994</v>
      </c>
      <c r="D30" s="74">
        <f t="shared" si="2"/>
        <v>92.54</v>
      </c>
      <c r="E30" s="74">
        <f>IF($E$2=22.5,'S3'!Y30,IF($E$2=23.5,'S3'!Z30,IF($E$2=24.5,'S3'!AA30,IF($E$2=25.5,'S3'!AB30,IF($E$2=26.5,'S3'!AC30,IF($E$2=27.5,'S3'!AD30,IF($E$2=28.5,'S3'!AE30,IF($E$2=29.5,'S3'!AF30,IF($E$2=30.5,'S3'!AG30,IF($E$2=31.5,'S3'!AH30,IF($E$2=32.5,'S3'!AI30,IF($E$2=33.5,'S3'!AJ30))))))))))))</f>
        <v>41.05</v>
      </c>
      <c r="F30" s="74">
        <f t="shared" si="1"/>
        <v>57.47</v>
      </c>
      <c r="H30" s="632" t="s">
        <v>164</v>
      </c>
      <c r="I30" s="23" t="s">
        <v>77</v>
      </c>
      <c r="J30" s="135">
        <v>7.47</v>
      </c>
      <c r="K30" s="135">
        <v>7.89</v>
      </c>
      <c r="L30" s="135">
        <v>7.55</v>
      </c>
      <c r="M30" s="135">
        <v>7.97</v>
      </c>
      <c r="N30" s="135">
        <v>7.63</v>
      </c>
      <c r="O30" s="136">
        <v>8.0500000000000007</v>
      </c>
      <c r="P30" s="1248">
        <v>7.7</v>
      </c>
      <c r="Q30" s="1248">
        <v>8.1199999999999992</v>
      </c>
      <c r="R30" s="1248">
        <v>7.78</v>
      </c>
      <c r="S30" s="1248">
        <v>8.1999999999999993</v>
      </c>
      <c r="T30" s="1249">
        <v>7.86</v>
      </c>
      <c r="U30" s="1248">
        <v>8.2799999999999994</v>
      </c>
      <c r="V30" s="1248">
        <v>7.93</v>
      </c>
      <c r="W30" s="1249">
        <v>8.35</v>
      </c>
      <c r="X30" s="1249">
        <v>8.01</v>
      </c>
      <c r="Y30" s="1248">
        <v>8.43</v>
      </c>
      <c r="Z30" s="1248">
        <v>8.09</v>
      </c>
      <c r="AA30" s="1249">
        <v>8.51</v>
      </c>
      <c r="AB30" s="1248">
        <v>8.16</v>
      </c>
      <c r="AC30" s="1248">
        <v>8.58</v>
      </c>
      <c r="AD30" s="1250">
        <v>8.24</v>
      </c>
      <c r="AE30" s="1250">
        <v>8.66</v>
      </c>
      <c r="AF30" s="1251">
        <v>8.32</v>
      </c>
      <c r="AG30" s="1250">
        <v>8.74</v>
      </c>
      <c r="AH30" s="1250">
        <v>8.39</v>
      </c>
      <c r="AI30" s="1250">
        <v>8.81</v>
      </c>
      <c r="AJ30" s="1250">
        <v>8.4700000000000006</v>
      </c>
      <c r="AK30" s="1250">
        <v>8.89</v>
      </c>
      <c r="AL30" s="1252">
        <v>8.5399999999999991</v>
      </c>
      <c r="AM30" s="1252">
        <v>8.9600000000000009</v>
      </c>
      <c r="AN30" s="1252">
        <v>8.6199999999999992</v>
      </c>
      <c r="AO30" s="1252">
        <v>9.0399999999999991</v>
      </c>
      <c r="AP30" s="1252">
        <v>8.6999999999999993</v>
      </c>
      <c r="AQ30" s="1252">
        <v>9.1199999999999992</v>
      </c>
      <c r="AR30" s="1252">
        <v>8.77</v>
      </c>
      <c r="AS30" s="1252">
        <v>9.19</v>
      </c>
      <c r="AT30" s="1252">
        <v>7.4</v>
      </c>
      <c r="AU30" s="1252">
        <v>7.82</v>
      </c>
      <c r="AV30" s="1252">
        <v>7.32</v>
      </c>
      <c r="AW30" s="1252">
        <v>7.74</v>
      </c>
      <c r="AX30" s="1252">
        <v>5.79</v>
      </c>
      <c r="AY30" s="1252">
        <v>6.11</v>
      </c>
      <c r="AZ30" s="1252">
        <v>5.71</v>
      </c>
      <c r="BA30" s="1252">
        <v>6.04</v>
      </c>
      <c r="BB30" s="1252">
        <v>5.63</v>
      </c>
      <c r="BC30" s="1252">
        <v>5.96</v>
      </c>
      <c r="BD30" s="150">
        <f>IF($C$2=22.5,J30,IF($C$2=23.5,L30,IF($C$2=24.5,N30,IF($C$2=25.5,P30,IF($C$2=26.5,R30,IF($C$2=27.5,T30,IF($C$2=28.5,V30,IF($C$2=29.5,X30,IF($C$2=30.5,Z30,IF($C$2=31.5,AB30,IF($C$2=32.5,AD30,IF($C$2=33.5,AF30))))))))))))</f>
        <v>8.09</v>
      </c>
      <c r="BE30" s="150">
        <f>IF($C$2=22.5,K30,IF($C$2=23.5,M30,IF($C$2=24.5,O30,IF($C$2=25.5,Q30,IF($C$2=26.5,S30,IF($C$2=27.5,U30,IF($C$2=28.5,W30,IF($C$2=29.5,Y30,IF($C$2=30.5,AA30,IF($C$2=31.5,AC30,IF($C$2=32.5,AE30,IF($C$2=33.5,AG30))))))))))))</f>
        <v>8.51</v>
      </c>
      <c r="BF30" s="92">
        <f>IF('1.ข้อมูล'!$Q$16=0,BD30,IF('1.ข้อมูล'!$Q$16=1,BE30,IF('1.ข้อมูล'!$Q$16=2,BE30,)))</f>
        <v>8.09</v>
      </c>
    </row>
    <row r="31" spans="2:74" ht="21.75" thickBot="1">
      <c r="B31" s="148">
        <v>27</v>
      </c>
      <c r="C31" s="74">
        <f>IF($C$2=22.5,'S3'!A31,IF($C$2=23.5,'S3'!B31,IF($C$2=24.5,'S3'!C31,IF($C$2=25.5,'S3'!D31,IF($C$2=26.5,'S3'!E31,IF($C$2=27.5,'S3'!F31,IF($C$2=28.5,'S3'!G31,IF($C$2=29.5,'S3'!H31,IF($C$2=30.5,'S3'!I31,IF($C$2=31.5,'S3'!J31,IF($C$2=32.5,'S3'!K31,IF($C$2=33.5,'S3'!L31))))))))))))</f>
        <v>68.599999999999994</v>
      </c>
      <c r="D31" s="74">
        <f t="shared" si="2"/>
        <v>96.04</v>
      </c>
      <c r="E31" s="74">
        <f>IF($E$2=22.5,'S3'!Y31,IF($E$2=23.5,'S3'!Z31,IF($E$2=24.5,'S3'!AA31,IF($E$2=25.5,'S3'!AB31,IF($E$2=26.5,'S3'!AC31,IF($E$2=27.5,'S3'!AD31,IF($E$2=28.5,'S3'!AE31,IF($E$2=29.5,'S3'!AF31,IF($E$2=30.5,'S3'!AG31,IF($E$2=31.5,'S3'!AH31,IF($E$2=32.5,'S3'!AI31,IF($E$2=33.5,'S3'!AJ31))))))))))))</f>
        <v>42.61</v>
      </c>
      <c r="F31" s="74">
        <f t="shared" si="1"/>
        <v>59.65</v>
      </c>
      <c r="H31" s="632" t="s">
        <v>183</v>
      </c>
      <c r="I31" s="135"/>
      <c r="J31" s="135"/>
      <c r="K31" s="135"/>
      <c r="L31" s="135"/>
      <c r="M31" s="135"/>
      <c r="N31" s="135"/>
      <c r="O31" s="135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/>
      <c r="Z31" s="1248"/>
      <c r="AA31" s="1248"/>
      <c r="AB31" s="1248"/>
      <c r="AC31" s="1248"/>
      <c r="AD31" s="1250"/>
      <c r="AE31" s="1250"/>
      <c r="AF31" s="1250"/>
      <c r="AG31" s="1250"/>
      <c r="AH31" s="1250"/>
      <c r="AI31" s="1250"/>
      <c r="AJ31" s="1250"/>
      <c r="AK31" s="1250"/>
      <c r="AL31" s="1252"/>
      <c r="AM31" s="1252"/>
      <c r="AN31" s="1252"/>
      <c r="AO31" s="1252"/>
      <c r="AP31" s="1252"/>
      <c r="AQ31" s="1252"/>
      <c r="AR31" s="1252"/>
      <c r="AS31" s="1252"/>
      <c r="AT31" s="1252"/>
      <c r="AU31" s="1252"/>
      <c r="AV31" s="1252"/>
      <c r="AW31" s="1252"/>
      <c r="AX31" s="1252"/>
      <c r="AY31" s="1252"/>
      <c r="AZ31" s="1252"/>
      <c r="BA31" s="1252"/>
      <c r="BB31" s="1252"/>
      <c r="BC31" s="1252"/>
      <c r="BD31" s="135"/>
      <c r="BE31" s="135"/>
      <c r="BF31" s="135"/>
      <c r="BI31" s="1887" t="s">
        <v>169</v>
      </c>
      <c r="BJ31" s="1888"/>
      <c r="BK31" s="155" t="s">
        <v>280</v>
      </c>
      <c r="BL31" s="156">
        <f>IF('1.ข้อมูล'!$Q$16=0,'S2'!$BI$17,IF('1.ข้อมูล'!$Q$16=1,'S2'!$BJ$17,IF('1.ข้อมูล'!$Q$16=2,'S2'!$BK$17)))</f>
        <v>1.3606</v>
      </c>
    </row>
    <row r="32" spans="2:74">
      <c r="B32" s="148">
        <v>28</v>
      </c>
      <c r="C32" s="74">
        <f>IF($C$2=22.5,'S3'!A32,IF($C$2=23.5,'S3'!B32,IF($C$2=24.5,'S3'!C32,IF($C$2=25.5,'S3'!D32,IF($C$2=26.5,'S3'!E32,IF($C$2=27.5,'S3'!F32,IF($C$2=28.5,'S3'!G32,IF($C$2=29.5,'S3'!H32,IF($C$2=30.5,'S3'!I32,IF($C$2=31.5,'S3'!J32,IF($C$2=32.5,'S3'!K32,IF($C$2=33.5,'S3'!L32))))))))))))</f>
        <v>71.09</v>
      </c>
      <c r="D32" s="74">
        <f t="shared" si="2"/>
        <v>99.53</v>
      </c>
      <c r="E32" s="74">
        <f>IF($E$2=22.5,'S3'!Y32,IF($E$2=23.5,'S3'!Z32,IF($E$2=24.5,'S3'!AA32,IF($E$2=25.5,'S3'!AB32,IF($E$2=26.5,'S3'!AC32,IF($E$2=27.5,'S3'!AD32,IF($E$2=28.5,'S3'!AE32,IF($E$2=29.5,'S3'!AF32,IF($E$2=30.5,'S3'!AG32,IF($E$2=31.5,'S3'!AH32,IF($E$2=32.5,'S3'!AI32,IF($E$2=33.5,'S3'!AJ32))))))))))))</f>
        <v>44.17</v>
      </c>
      <c r="F32" s="74">
        <f t="shared" si="1"/>
        <v>61.84</v>
      </c>
      <c r="H32" s="135" t="s">
        <v>184</v>
      </c>
      <c r="I32" s="146" t="s">
        <v>185</v>
      </c>
      <c r="J32" s="135">
        <v>19.96</v>
      </c>
      <c r="K32" s="135">
        <v>20.73</v>
      </c>
      <c r="L32" s="136">
        <v>20.149999999999999</v>
      </c>
      <c r="M32" s="136">
        <v>20.92</v>
      </c>
      <c r="N32" s="135">
        <v>20.34</v>
      </c>
      <c r="O32" s="135">
        <v>21.11</v>
      </c>
      <c r="P32" s="1248">
        <v>20.53</v>
      </c>
      <c r="Q32" s="1249">
        <v>21.3</v>
      </c>
      <c r="R32" s="1248">
        <v>20.71</v>
      </c>
      <c r="S32" s="1248">
        <v>21.48</v>
      </c>
      <c r="T32" s="1248">
        <v>20.9</v>
      </c>
      <c r="U32" s="1248">
        <v>21.67</v>
      </c>
      <c r="V32" s="1249">
        <v>21.09</v>
      </c>
      <c r="W32" s="1248">
        <v>21.86</v>
      </c>
      <c r="X32" s="1248">
        <v>21.28</v>
      </c>
      <c r="Y32" s="1248">
        <v>22.05</v>
      </c>
      <c r="Z32" s="1248">
        <v>21.47</v>
      </c>
      <c r="AA32" s="1248">
        <v>22.24</v>
      </c>
      <c r="AB32" s="1248">
        <v>21.65</v>
      </c>
      <c r="AC32" s="1249">
        <v>22.42</v>
      </c>
      <c r="AD32" s="1250">
        <v>21.84</v>
      </c>
      <c r="AE32" s="1250">
        <v>22.61</v>
      </c>
      <c r="AF32" s="1250">
        <v>22.03</v>
      </c>
      <c r="AG32" s="1250">
        <v>22.8</v>
      </c>
      <c r="AH32" s="1250">
        <v>22.22</v>
      </c>
      <c r="AI32" s="1250">
        <v>22.99</v>
      </c>
      <c r="AJ32" s="1250">
        <v>22.41</v>
      </c>
      <c r="AK32" s="1250">
        <v>23.18</v>
      </c>
      <c r="AL32" s="1252">
        <v>22.59</v>
      </c>
      <c r="AM32" s="1252">
        <v>23.36</v>
      </c>
      <c r="AN32" s="1252">
        <v>22.78</v>
      </c>
      <c r="AO32" s="1252">
        <v>23.55</v>
      </c>
      <c r="AP32" s="1252">
        <v>22.97</v>
      </c>
      <c r="AQ32" s="1252">
        <v>23.74</v>
      </c>
      <c r="AR32" s="1253">
        <v>23.16</v>
      </c>
      <c r="AS32" s="1252">
        <v>23.93</v>
      </c>
      <c r="AT32" s="1252">
        <v>19.78</v>
      </c>
      <c r="AU32" s="1252">
        <v>20.55</v>
      </c>
      <c r="AV32" s="1252">
        <v>19.59</v>
      </c>
      <c r="AW32" s="1252">
        <v>20.36</v>
      </c>
      <c r="AX32" s="1252">
        <v>16.739999999999998</v>
      </c>
      <c r="AY32" s="1252">
        <v>17.48</v>
      </c>
      <c r="AZ32" s="1252">
        <v>16.559999999999999</v>
      </c>
      <c r="BA32" s="1252">
        <v>17.29</v>
      </c>
      <c r="BB32" s="1252">
        <v>16.37</v>
      </c>
      <c r="BC32" s="1252">
        <v>17.100000000000001</v>
      </c>
      <c r="BD32" s="150">
        <f>IF($C$2=22.5,J32,IF($C$2=23.5,L32,IF($C$2=24.5,N32,IF($C$2=25.5,P32,IF($C$2=26.5,R32,IF($C$2=27.5,T32,IF($C$2=28.5,V32,IF($C$2=29.5,X32,IF($C$2=30.5,Z32,IF($C$2=31.5,AB32,IF($C$2=32.5,AD32,IF($C$2=33.5,AF32))))))))))))</f>
        <v>21.47</v>
      </c>
      <c r="BE32" s="150">
        <f>IF($C$2=22.5,K32,IF($C$2=23.5,M32,IF($C$2=24.5,O32,IF($C$2=25.5,Q32,IF($C$2=26.5,S32,IF($C$2=27.5,U32,IF($C$2=28.5,W32,IF($C$2=29.5,Y32,IF($C$2=30.5,AA32,IF($C$2=31.5,AC32,IF($C$2=32.5,AE32,IF($C$2=33.5,AG32))))))))))))</f>
        <v>22.24</v>
      </c>
      <c r="BF32" s="92">
        <f>IF('1.ข้อมูล'!$Q$16=0,BD32,IF('1.ข้อมูล'!$Q$16=1,BE32,IF('1.ข้อมูล'!$Q$16=2,BE32,)))</f>
        <v>21.47</v>
      </c>
      <c r="BL32" s="8">
        <v>1.3607</v>
      </c>
    </row>
    <row r="33" spans="2:58">
      <c r="B33" s="148">
        <v>29</v>
      </c>
      <c r="C33" s="74">
        <f>IF($C$2=22.5,'S3'!A33,IF($C$2=23.5,'S3'!B33,IF($C$2=24.5,'S3'!C33,IF($C$2=25.5,'S3'!D33,IF($C$2=26.5,'S3'!E33,IF($C$2=27.5,'S3'!F33,IF($C$2=28.5,'S3'!G33,IF($C$2=29.5,'S3'!H33,IF($C$2=30.5,'S3'!I33,IF($C$2=31.5,'S3'!J33,IF($C$2=32.5,'S3'!K33,IF($C$2=33.5,'S3'!L33))))))))))))</f>
        <v>73.569999999999993</v>
      </c>
      <c r="D33" s="74">
        <f t="shared" si="2"/>
        <v>103</v>
      </c>
      <c r="E33" s="74">
        <f>IF($E$2=22.5,'S3'!Y33,IF($E$2=23.5,'S3'!Z33,IF($E$2=24.5,'S3'!AA33,IF($E$2=25.5,'S3'!AB33,IF($E$2=26.5,'S3'!AC33,IF($E$2=27.5,'S3'!AD33,IF($E$2=28.5,'S3'!AE33,IF($E$2=29.5,'S3'!AF33,IF($E$2=30.5,'S3'!AG33,IF($E$2=31.5,'S3'!AH33,IF($E$2=32.5,'S3'!AI33,IF($E$2=33.5,'S3'!AJ33))))))))))))</f>
        <v>45.72</v>
      </c>
      <c r="F33" s="74">
        <f t="shared" si="1"/>
        <v>64.010000000000005</v>
      </c>
      <c r="H33" s="632" t="s">
        <v>186</v>
      </c>
      <c r="I33" s="135"/>
      <c r="J33" s="135"/>
      <c r="K33" s="135"/>
      <c r="L33" s="135"/>
      <c r="M33" s="135"/>
      <c r="N33" s="135"/>
      <c r="O33" s="135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  <c r="AB33" s="1248"/>
      <c r="AC33" s="1248"/>
      <c r="AD33" s="1250"/>
      <c r="AE33" s="1250"/>
      <c r="AF33" s="1250"/>
      <c r="AG33" s="1250"/>
      <c r="AH33" s="1250"/>
      <c r="AI33" s="1250"/>
      <c r="AJ33" s="1250"/>
      <c r="AK33" s="1250"/>
      <c r="AL33" s="1252"/>
      <c r="AM33" s="1252"/>
      <c r="AN33" s="1252"/>
      <c r="AO33" s="1252"/>
      <c r="AP33" s="1252"/>
      <c r="AQ33" s="1252"/>
      <c r="AR33" s="1252"/>
      <c r="AS33" s="1252"/>
      <c r="AT33" s="1252"/>
      <c r="AU33" s="1252"/>
      <c r="AV33" s="1252"/>
      <c r="AW33" s="1252"/>
      <c r="AX33" s="1252"/>
      <c r="AY33" s="1252"/>
      <c r="AZ33" s="1252"/>
      <c r="BA33" s="1252"/>
      <c r="BB33" s="1252"/>
      <c r="BC33" s="1252"/>
      <c r="BD33" s="135"/>
      <c r="BE33" s="135"/>
      <c r="BF33" s="135"/>
    </row>
    <row r="34" spans="2:58">
      <c r="B34" s="148">
        <v>30</v>
      </c>
      <c r="C34" s="74">
        <f>IF($C$2=22.5,'S3'!A34,IF($C$2=23.5,'S3'!B34,IF($C$2=24.5,'S3'!C34,IF($C$2=25.5,'S3'!D34,IF($C$2=26.5,'S3'!E34,IF($C$2=27.5,'S3'!F34,IF($C$2=28.5,'S3'!G34,IF($C$2=29.5,'S3'!H34,IF($C$2=30.5,'S3'!I34,IF($C$2=31.5,'S3'!J34,IF($C$2=32.5,'S3'!K34,IF($C$2=33.5,'S3'!L34))))))))))))</f>
        <v>76.08</v>
      </c>
      <c r="D34" s="74">
        <f t="shared" si="2"/>
        <v>106.51</v>
      </c>
      <c r="E34" s="74">
        <f>IF($E$2=22.5,'S3'!Y34,IF($E$2=23.5,'S3'!Z34,IF($E$2=24.5,'S3'!AA34,IF($E$2=25.5,'S3'!AB34,IF($E$2=26.5,'S3'!AC34,IF($E$2=27.5,'S3'!AD34,IF($E$2=28.5,'S3'!AE34,IF($E$2=29.5,'S3'!AF34,IF($E$2=30.5,'S3'!AG34,IF($E$2=31.5,'S3'!AH34,IF($E$2=32.5,'S3'!AI34,IF($E$2=33.5,'S3'!AJ34))))))))))))</f>
        <v>47.28</v>
      </c>
      <c r="F34" s="74">
        <f t="shared" si="1"/>
        <v>66.19</v>
      </c>
      <c r="H34" s="135" t="s">
        <v>187</v>
      </c>
      <c r="I34" s="23" t="s">
        <v>75</v>
      </c>
      <c r="J34" s="135">
        <v>20.04</v>
      </c>
      <c r="K34" s="135">
        <v>20.92</v>
      </c>
      <c r="L34" s="136">
        <v>20.260000000000002</v>
      </c>
      <c r="M34" s="135">
        <v>21.14</v>
      </c>
      <c r="N34" s="135">
        <v>20.47</v>
      </c>
      <c r="O34" s="135">
        <v>21.35</v>
      </c>
      <c r="P34" s="1248">
        <v>20.69</v>
      </c>
      <c r="Q34" s="1249">
        <v>21.57</v>
      </c>
      <c r="R34" s="1248">
        <v>20.71</v>
      </c>
      <c r="S34" s="1248">
        <v>21.48</v>
      </c>
      <c r="T34" s="1248">
        <v>21.12</v>
      </c>
      <c r="U34" s="1248">
        <v>22</v>
      </c>
      <c r="V34" s="1248">
        <v>21.34</v>
      </c>
      <c r="W34" s="1249">
        <v>22.22</v>
      </c>
      <c r="X34" s="1248">
        <v>21.55</v>
      </c>
      <c r="Y34" s="1248">
        <v>22.43</v>
      </c>
      <c r="Z34" s="1248">
        <v>21.77</v>
      </c>
      <c r="AA34" s="1248">
        <v>22.65</v>
      </c>
      <c r="AB34" s="1248">
        <v>21.98</v>
      </c>
      <c r="AC34" s="1248">
        <v>22.86</v>
      </c>
      <c r="AD34" s="1251">
        <v>22.2</v>
      </c>
      <c r="AE34" s="1250">
        <v>23.08</v>
      </c>
      <c r="AF34" s="1250">
        <v>22.41</v>
      </c>
      <c r="AG34" s="1250">
        <v>23.29</v>
      </c>
      <c r="AH34" s="1250">
        <v>22.63</v>
      </c>
      <c r="AI34" s="1251">
        <v>23.51</v>
      </c>
      <c r="AJ34" s="1250">
        <v>22.84</v>
      </c>
      <c r="AK34" s="1250">
        <v>23.72</v>
      </c>
      <c r="AL34" s="1252">
        <v>23.06</v>
      </c>
      <c r="AM34" s="1252">
        <v>23.94</v>
      </c>
      <c r="AN34" s="1252">
        <v>23.28</v>
      </c>
      <c r="AO34" s="1252">
        <v>24.16</v>
      </c>
      <c r="AP34" s="1252">
        <v>23.49</v>
      </c>
      <c r="AQ34" s="1253">
        <v>24.37</v>
      </c>
      <c r="AR34" s="1252">
        <v>23.71</v>
      </c>
      <c r="AS34" s="1253">
        <v>24.59</v>
      </c>
      <c r="AT34" s="1253">
        <v>19.829999999999998</v>
      </c>
      <c r="AU34" s="1253">
        <v>20.71</v>
      </c>
      <c r="AV34" s="1253">
        <v>19.61</v>
      </c>
      <c r="AW34" s="1253">
        <v>20.49</v>
      </c>
      <c r="AX34" s="1253">
        <v>16.940000000000001</v>
      </c>
      <c r="AY34" s="1253">
        <v>17.809999999999999</v>
      </c>
      <c r="AZ34" s="1253">
        <v>16.72</v>
      </c>
      <c r="BA34" s="1253">
        <v>17.59</v>
      </c>
      <c r="BB34" s="1253">
        <v>16.510000000000002</v>
      </c>
      <c r="BC34" s="1253">
        <v>17.38</v>
      </c>
      <c r="BD34" s="150">
        <f>IF($C$2=22.5,J34,IF($C$2=23.5,L34,IF($C$2=24.5,N34,IF($C$2=25.5,P34,IF($C$2=26.5,R34,IF($C$2=27.5,T34,IF($C$2=28.5,V34,IF($C$2=29.5,X34,IF($C$2=30.5,Z34,IF($C$2=31.5,AB34,IF($C$2=32.5,AD34,IF($C$2=33.5,AF34))))))))))))</f>
        <v>21.77</v>
      </c>
      <c r="BE34" s="150">
        <f>IF($C$2=22.5,K34,IF($C$2=23.5,M34,IF($C$2=24.5,O34,IF($C$2=25.5,Q34,IF($C$2=26.5,S34,IF($C$2=27.5,U34,IF($C$2=28.5,W34,IF($C$2=29.5,Y34,IF($C$2=30.5,AA34,IF($C$2=31.5,AC34,IF($C$2=32.5,AE34,IF($C$2=33.5,AG34))))))))))))</f>
        <v>22.65</v>
      </c>
      <c r="BF34" s="92">
        <f>IF('1.ข้อมูล'!$Q$16=0,BD34,IF('1.ข้อมูล'!$Q$16=1,BE34,IF('1.ข้อมูล'!$Q$16=2,BE34,)))</f>
        <v>21.77</v>
      </c>
    </row>
    <row r="35" spans="2:58">
      <c r="B35" s="148">
        <v>31</v>
      </c>
      <c r="C35" s="74">
        <f>IF($C$2=22.5,'S3'!A35,IF($C$2=23.5,'S3'!B35,IF($C$2=24.5,'S3'!C35,IF($C$2=25.5,'S3'!D35,IF($C$2=26.5,'S3'!E35,IF($C$2=27.5,'S3'!F35,IF($C$2=28.5,'S3'!G35,IF($C$2=29.5,'S3'!H35,IF($C$2=30.5,'S3'!I35,IF($C$2=31.5,'S3'!J35,IF($C$2=32.5,'S3'!K35,IF($C$2=33.5,'S3'!L35))))))))))))</f>
        <v>78.56</v>
      </c>
      <c r="D35" s="74">
        <f t="shared" si="2"/>
        <v>109.98</v>
      </c>
      <c r="E35" s="74">
        <f>IF($E$2=22.5,'S3'!Y35,IF($E$2=23.5,'S3'!Z35,IF($E$2=24.5,'S3'!AA35,IF($E$2=25.5,'S3'!AB35,IF($E$2=26.5,'S3'!AC35,IF($E$2=27.5,'S3'!AD35,IF($E$2=28.5,'S3'!AE35,IF($E$2=29.5,'S3'!AF35,IF($E$2=30.5,'S3'!AG35,IF($E$2=31.5,'S3'!AH35,IF($E$2=32.5,'S3'!AI35,IF($E$2=33.5,'S3'!AJ35))))))))))))</f>
        <v>48.83</v>
      </c>
      <c r="F35" s="74">
        <f t="shared" si="1"/>
        <v>68.36</v>
      </c>
      <c r="H35" s="135" t="s">
        <v>188</v>
      </c>
      <c r="I35" s="23" t="s">
        <v>77</v>
      </c>
      <c r="J35" s="136">
        <v>42.33</v>
      </c>
      <c r="K35" s="135">
        <v>45.03</v>
      </c>
      <c r="L35" s="135">
        <v>42.78</v>
      </c>
      <c r="M35" s="135">
        <v>45.48</v>
      </c>
      <c r="N35" s="135">
        <v>43.23</v>
      </c>
      <c r="O35" s="135">
        <v>45.93</v>
      </c>
      <c r="P35" s="1248">
        <v>43.68</v>
      </c>
      <c r="Q35" s="1248">
        <v>46.38</v>
      </c>
      <c r="R35" s="1248">
        <v>44.13</v>
      </c>
      <c r="S35" s="1248">
        <v>46.83</v>
      </c>
      <c r="T35" s="1248">
        <v>44.58</v>
      </c>
      <c r="U35" s="1248">
        <v>47.28</v>
      </c>
      <c r="V35" s="1248">
        <v>45.03</v>
      </c>
      <c r="W35" s="1248">
        <v>47.73</v>
      </c>
      <c r="X35" s="1248">
        <v>45.49</v>
      </c>
      <c r="Y35" s="1248">
        <v>48.19</v>
      </c>
      <c r="Z35" s="1248">
        <v>45.94</v>
      </c>
      <c r="AA35" s="1248">
        <v>48.64</v>
      </c>
      <c r="AB35" s="1248">
        <v>46.39</v>
      </c>
      <c r="AC35" s="1248">
        <v>49.09</v>
      </c>
      <c r="AD35" s="1250">
        <v>46.84</v>
      </c>
      <c r="AE35" s="1250">
        <v>49.54</v>
      </c>
      <c r="AF35" s="1250">
        <v>47.29</v>
      </c>
      <c r="AG35" s="1250">
        <v>49.99</v>
      </c>
      <c r="AH35" s="1250">
        <v>47.74</v>
      </c>
      <c r="AI35" s="1250">
        <v>50.44</v>
      </c>
      <c r="AJ35" s="1250">
        <v>48.19</v>
      </c>
      <c r="AK35" s="1250">
        <v>50.89</v>
      </c>
      <c r="AL35" s="1252">
        <v>48.64</v>
      </c>
      <c r="AM35" s="1252">
        <v>51.34</v>
      </c>
      <c r="AN35" s="1253">
        <v>49.09</v>
      </c>
      <c r="AO35" s="1252">
        <v>51.79</v>
      </c>
      <c r="AP35" s="1252">
        <v>49.54</v>
      </c>
      <c r="AQ35" s="1252">
        <v>52.24</v>
      </c>
      <c r="AR35" s="1253">
        <v>49.99</v>
      </c>
      <c r="AS35" s="1252">
        <v>52.69</v>
      </c>
      <c r="AT35" s="1253">
        <v>41.88</v>
      </c>
      <c r="AU35" s="1253">
        <v>44.58</v>
      </c>
      <c r="AV35" s="1253">
        <v>41.43</v>
      </c>
      <c r="AW35" s="1253">
        <v>44.13</v>
      </c>
      <c r="AX35" s="1253">
        <v>31.48</v>
      </c>
      <c r="AY35" s="1253">
        <v>33.46</v>
      </c>
      <c r="AZ35" s="1253">
        <v>31.03</v>
      </c>
      <c r="BA35" s="1253">
        <v>33.01</v>
      </c>
      <c r="BB35" s="1253">
        <v>30.58</v>
      </c>
      <c r="BC35" s="1253">
        <v>32.56</v>
      </c>
      <c r="BD35" s="150">
        <f>IF($C$2=22.5,J35,IF($C$2=23.5,L35,IF($C$2=24.5,N35,IF($C$2=25.5,P35,IF($C$2=26.5,R35,IF($C$2=27.5,T35,IF($C$2=28.5,V35,IF($C$2=29.5,X35,IF($C$2=30.5,Z35,IF($C$2=31.5,AB35,IF($C$2=32.5,AD35,IF($C$2=33.5,AF35))))))))))))</f>
        <v>45.94</v>
      </c>
      <c r="BE35" s="150">
        <f>IF($C$2=22.5,K35,IF($C$2=23.5,M35,IF($C$2=24.5,O35,IF($C$2=25.5,Q35,IF($C$2=26.5,S35,IF($C$2=27.5,U35,IF($C$2=28.5,W35,IF($C$2=29.5,Y35,IF($C$2=30.5,AA35,IF($C$2=31.5,AC35,IF($C$2=32.5,AE35,IF($C$2=33.5,AG35))))))))))))</f>
        <v>48.64</v>
      </c>
      <c r="BF35" s="92">
        <f>IF('1.ข้อมูล'!$Q$16=0,BD35,IF('1.ข้อมูล'!$Q$16=1,BE35,IF('1.ข้อมูล'!$Q$16=2,BE35,)))</f>
        <v>45.94</v>
      </c>
    </row>
    <row r="36" spans="2:58">
      <c r="B36" s="148">
        <v>32</v>
      </c>
      <c r="C36" s="74">
        <f>IF($C$2=22.5,'S3'!A36,IF($C$2=23.5,'S3'!B36,IF($C$2=24.5,'S3'!C36,IF($C$2=25.5,'S3'!D36,IF($C$2=26.5,'S3'!E36,IF($C$2=27.5,'S3'!F36,IF($C$2=28.5,'S3'!G36,IF($C$2=29.5,'S3'!H36,IF($C$2=30.5,'S3'!I36,IF($C$2=31.5,'S3'!J36,IF($C$2=32.5,'S3'!K36,IF($C$2=33.5,'S3'!L36))))))))))))</f>
        <v>81.069999999999993</v>
      </c>
      <c r="D36" s="74">
        <f t="shared" si="2"/>
        <v>113.5</v>
      </c>
      <c r="E36" s="74">
        <f>IF($E$2=22.5,'S3'!Y36,IF($E$2=23.5,'S3'!Z36,IF($E$2=24.5,'S3'!AA36,IF($E$2=25.5,'S3'!AB36,IF($E$2=26.5,'S3'!AC36,IF($E$2=27.5,'S3'!AD36,IF($E$2=28.5,'S3'!AE36,IF($E$2=29.5,'S3'!AF36,IF($E$2=30.5,'S3'!AG36,IF($E$2=31.5,'S3'!AH36,IF($E$2=32.5,'S3'!AI36,IF($E$2=33.5,'S3'!AJ36))))))))))))</f>
        <v>50.39</v>
      </c>
      <c r="F36" s="74">
        <f t="shared" si="1"/>
        <v>70.55</v>
      </c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</row>
    <row r="37" spans="2:58">
      <c r="B37" s="148">
        <v>33</v>
      </c>
      <c r="C37" s="74">
        <f>IF($C$2=22.5,'S3'!A37,IF($C$2=23.5,'S3'!B37,IF($C$2=24.5,'S3'!C37,IF($C$2=25.5,'S3'!D37,IF($C$2=26.5,'S3'!E37,IF($C$2=27.5,'S3'!F37,IF($C$2=28.5,'S3'!G37,IF($C$2=29.5,'S3'!H37,IF($C$2=30.5,'S3'!I37,IF($C$2=31.5,'S3'!J37,IF($C$2=32.5,'S3'!K37,IF($C$2=33.5,'S3'!L37))))))))))))</f>
        <v>83.56</v>
      </c>
      <c r="D37" s="74">
        <f t="shared" si="2"/>
        <v>116.98</v>
      </c>
      <c r="E37" s="74">
        <f>IF($E$2=22.5,'S3'!Y37,IF($E$2=23.5,'S3'!Z37,IF($E$2=24.5,'S3'!AA37,IF($E$2=25.5,'S3'!AB37,IF($E$2=26.5,'S3'!AC37,IF($E$2=27.5,'S3'!AD37,IF($E$2=28.5,'S3'!AE37,IF($E$2=29.5,'S3'!AF37,IF($E$2=30.5,'S3'!AG37,IF($E$2=31.5,'S3'!AH37,IF($E$2=32.5,'S3'!AI37,IF($E$2=33.5,'S3'!AJ37))))))))))))</f>
        <v>51.94</v>
      </c>
      <c r="F37" s="74">
        <f t="shared" si="1"/>
        <v>72.72</v>
      </c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</row>
    <row r="38" spans="2:58">
      <c r="B38" s="148">
        <v>34</v>
      </c>
      <c r="C38" s="74">
        <f>IF($C$2=22.5,'S3'!A38,IF($C$2=23.5,'S3'!B38,IF($C$2=24.5,'S3'!C38,IF($C$2=25.5,'S3'!D38,IF($C$2=26.5,'S3'!E38,IF($C$2=27.5,'S3'!F38,IF($C$2=28.5,'S3'!G38,IF($C$2=29.5,'S3'!H38,IF($C$2=30.5,'S3'!I38,IF($C$2=31.5,'S3'!J38,IF($C$2=32.5,'S3'!K38,IF($C$2=33.5,'S3'!L38))))))))))))</f>
        <v>86.06</v>
      </c>
      <c r="D38" s="74">
        <f t="shared" si="2"/>
        <v>120.48</v>
      </c>
      <c r="E38" s="74">
        <f>IF($E$2=22.5,'S3'!Y38,IF($E$2=23.5,'S3'!Z38,IF($E$2=24.5,'S3'!AA38,IF($E$2=25.5,'S3'!AB38,IF($E$2=26.5,'S3'!AC38,IF($E$2=27.5,'S3'!AD38,IF($E$2=28.5,'S3'!AE38,IF($E$2=29.5,'S3'!AF38,IF($E$2=30.5,'S3'!AG38,IF($E$2=31.5,'S3'!AH38,IF($E$2=32.5,'S3'!AI38,IF($E$2=33.5,'S3'!AJ38))))))))))))</f>
        <v>53.5</v>
      </c>
      <c r="F38" s="74">
        <f t="shared" si="1"/>
        <v>74.900000000000006</v>
      </c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</row>
    <row r="39" spans="2:58">
      <c r="B39" s="148">
        <v>35</v>
      </c>
      <c r="C39" s="74">
        <f>IF($C$2=22.5,'S3'!A39,IF($C$2=23.5,'S3'!B39,IF($C$2=24.5,'S3'!C39,IF($C$2=25.5,'S3'!D39,IF($C$2=26.5,'S3'!E39,IF($C$2=27.5,'S3'!F39,IF($C$2=28.5,'S3'!G39,IF($C$2=29.5,'S3'!H39,IF($C$2=30.5,'S3'!I39,IF($C$2=31.5,'S3'!J39,IF($C$2=32.5,'S3'!K39,IF($C$2=33.5,'S3'!L39))))))))))))</f>
        <v>88.54</v>
      </c>
      <c r="D39" s="74">
        <f t="shared" si="2"/>
        <v>123.96</v>
      </c>
      <c r="E39" s="74">
        <f>IF($E$2=22.5,'S3'!Y39,IF($E$2=23.5,'S3'!Z39,IF($E$2=24.5,'S3'!AA39,IF($E$2=25.5,'S3'!AB39,IF($E$2=26.5,'S3'!AC39,IF($E$2=27.5,'S3'!AD39,IF($E$2=28.5,'S3'!AE39,IF($E$2=29.5,'S3'!AF39,IF($E$2=30.5,'S3'!AG39,IF($E$2=31.5,'S3'!AH39,IF($E$2=32.5,'S3'!AI39,IF($E$2=33.5,'S3'!AJ39))))))))))))</f>
        <v>55.05</v>
      </c>
      <c r="F39" s="74">
        <f t="shared" si="1"/>
        <v>77.069999999999993</v>
      </c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</row>
    <row r="40" spans="2:58">
      <c r="B40" s="148">
        <v>36</v>
      </c>
      <c r="C40" s="74">
        <f>IF($C$2=22.5,'S3'!A40,IF($C$2=23.5,'S3'!B40,IF($C$2=24.5,'S3'!C40,IF($C$2=25.5,'S3'!D40,IF($C$2=26.5,'S3'!E40,IF($C$2=27.5,'S3'!F40,IF($C$2=28.5,'S3'!G40,IF($C$2=29.5,'S3'!H40,IF($C$2=30.5,'S3'!I40,IF($C$2=31.5,'S3'!J40,IF($C$2=32.5,'S3'!K40,IF($C$2=33.5,'S3'!L40))))))))))))</f>
        <v>91.04</v>
      </c>
      <c r="D40" s="74">
        <f t="shared" si="2"/>
        <v>127.46</v>
      </c>
      <c r="E40" s="74">
        <f>IF($E$2=22.5,'S3'!Y40,IF($E$2=23.5,'S3'!Z40,IF($E$2=24.5,'S3'!AA40,IF($E$2=25.5,'S3'!AB40,IF($E$2=26.5,'S3'!AC40,IF($E$2=27.5,'S3'!AD40,IF($E$2=28.5,'S3'!AE40,IF($E$2=29.5,'S3'!AF40,IF($E$2=30.5,'S3'!AG40,IF($E$2=31.5,'S3'!AH40,IF($E$2=32.5,'S3'!AI40,IF($E$2=33.5,'S3'!AJ40))))))))))))</f>
        <v>56.61</v>
      </c>
      <c r="F40" s="74">
        <f t="shared" si="1"/>
        <v>79.25</v>
      </c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</row>
    <row r="41" spans="2:58">
      <c r="B41" s="148">
        <v>37</v>
      </c>
      <c r="C41" s="74">
        <f>IF($C$2=22.5,'S3'!A41,IF($C$2=23.5,'S3'!B41,IF($C$2=24.5,'S3'!C41,IF($C$2=25.5,'S3'!D41,IF($C$2=26.5,'S3'!E41,IF($C$2=27.5,'S3'!F41,IF($C$2=28.5,'S3'!G41,IF($C$2=29.5,'S3'!H41,IF($C$2=30.5,'S3'!I41,IF($C$2=31.5,'S3'!J41,IF($C$2=32.5,'S3'!K41,IF($C$2=33.5,'S3'!L41))))))))))))</f>
        <v>93.54</v>
      </c>
      <c r="D41" s="74">
        <f t="shared" si="2"/>
        <v>130.96</v>
      </c>
      <c r="E41" s="74">
        <f>IF($E$2=22.5,'S3'!Y41,IF($E$2=23.5,'S3'!Z41,IF($E$2=24.5,'S3'!AA41,IF($E$2=25.5,'S3'!AB41,IF($E$2=26.5,'S3'!AC41,IF($E$2=27.5,'S3'!AD41,IF($E$2=28.5,'S3'!AE41,IF($E$2=29.5,'S3'!AF41,IF($E$2=30.5,'S3'!AG41,IF($E$2=31.5,'S3'!AH41,IF($E$2=32.5,'S3'!AI41,IF($E$2=33.5,'S3'!AJ41))))))))))))</f>
        <v>58.16</v>
      </c>
      <c r="F41" s="74">
        <f t="shared" si="1"/>
        <v>81.42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2:58">
      <c r="B42" s="148">
        <v>38</v>
      </c>
      <c r="C42" s="74">
        <f>IF($C$2=22.5,'S3'!A42,IF($C$2=23.5,'S3'!B42,IF($C$2=24.5,'S3'!C42,IF($C$2=25.5,'S3'!D42,IF($C$2=26.5,'S3'!E42,IF($C$2=27.5,'S3'!F42,IF($C$2=28.5,'S3'!G42,IF($C$2=29.5,'S3'!H42,IF($C$2=30.5,'S3'!I42,IF($C$2=31.5,'S3'!J42,IF($C$2=32.5,'S3'!K42,IF($C$2=33.5,'S3'!L42))))))))))))</f>
        <v>96.04</v>
      </c>
      <c r="D42" s="74">
        <f t="shared" si="2"/>
        <v>134.46</v>
      </c>
      <c r="E42" s="74">
        <f>IF($E$2=22.5,'S3'!Y42,IF($E$2=23.5,'S3'!Z42,IF($E$2=24.5,'S3'!AA42,IF($E$2=25.5,'S3'!AB42,IF($E$2=26.5,'S3'!AC42,IF($E$2=27.5,'S3'!AD42,IF($E$2=28.5,'S3'!AE42,IF($E$2=29.5,'S3'!AF42,IF($E$2=30.5,'S3'!AG42,IF($E$2=31.5,'S3'!AH42,IF($E$2=32.5,'S3'!AI42,IF($E$2=33.5,'S3'!AJ42))))))))))))</f>
        <v>59.72</v>
      </c>
      <c r="F42" s="74">
        <f t="shared" si="1"/>
        <v>83.61</v>
      </c>
    </row>
    <row r="43" spans="2:58">
      <c r="B43" s="148">
        <v>39</v>
      </c>
      <c r="C43" s="74">
        <f>IF($C$2=22.5,'S3'!A43,IF($C$2=23.5,'S3'!B43,IF($C$2=24.5,'S3'!C43,IF($C$2=25.5,'S3'!D43,IF($C$2=26.5,'S3'!E43,IF($C$2=27.5,'S3'!F43,IF($C$2=28.5,'S3'!G43,IF($C$2=29.5,'S3'!H43,IF($C$2=30.5,'S3'!I43,IF($C$2=31.5,'S3'!J43,IF($C$2=32.5,'S3'!K43,IF($C$2=33.5,'S3'!L43))))))))))))</f>
        <v>98.53</v>
      </c>
      <c r="D43" s="74">
        <f t="shared" si="2"/>
        <v>137.94</v>
      </c>
      <c r="E43" s="74">
        <f>IF($E$2=22.5,'S3'!Y43,IF($E$2=23.5,'S3'!Z43,IF($E$2=24.5,'S3'!AA43,IF($E$2=25.5,'S3'!AB43,IF($E$2=26.5,'S3'!AC43,IF($E$2=27.5,'S3'!AD43,IF($E$2=28.5,'S3'!AE43,IF($E$2=29.5,'S3'!AF43,IF($E$2=30.5,'S3'!AG43,IF($E$2=31.5,'S3'!AH43,IF($E$2=32.5,'S3'!AI43,IF($E$2=33.5,'S3'!AJ43))))))))))))</f>
        <v>61.28</v>
      </c>
      <c r="F43" s="74">
        <f t="shared" si="1"/>
        <v>85.79</v>
      </c>
    </row>
    <row r="44" spans="2:58">
      <c r="B44" s="148">
        <v>40</v>
      </c>
      <c r="C44" s="74">
        <f>IF($C$2=22.5,'S3'!A44,IF($C$2=23.5,'S3'!B44,IF($C$2=24.5,'S3'!C44,IF($C$2=25.5,'S3'!D44,IF($C$2=26.5,'S3'!E44,IF($C$2=27.5,'S3'!F44,IF($C$2=28.5,'S3'!G44,IF($C$2=29.5,'S3'!H44,IF($C$2=30.5,'S3'!I44,IF($C$2=31.5,'S3'!J44,IF($C$2=32.5,'S3'!K44,IF($C$2=33.5,'S3'!L44))))))))))))</f>
        <v>101.01</v>
      </c>
      <c r="D44" s="74">
        <f t="shared" si="2"/>
        <v>141.41</v>
      </c>
      <c r="E44" s="74">
        <f>IF($E$2=22.5,'S3'!Y44,IF($E$2=23.5,'S3'!Z44,IF($E$2=24.5,'S3'!AA44,IF($E$2=25.5,'S3'!AB44,IF($E$2=26.5,'S3'!AC44,IF($E$2=27.5,'S3'!AD44,IF($E$2=28.5,'S3'!AE44,IF($E$2=29.5,'S3'!AF44,IF($E$2=30.5,'S3'!AG44,IF($E$2=31.5,'S3'!AH44,IF($E$2=32.5,'S3'!AI44,IF($E$2=33.5,'S3'!AJ44))))))))))))</f>
        <v>62.83</v>
      </c>
      <c r="F44" s="74">
        <f t="shared" si="1"/>
        <v>87.96</v>
      </c>
    </row>
    <row r="45" spans="2:58">
      <c r="B45" s="148">
        <v>41</v>
      </c>
      <c r="C45" s="74">
        <f>IF($C$2=22.5,'S3'!A45,IF($C$2=23.5,'S3'!B45,IF($C$2=24.5,'S3'!C45,IF($C$2=25.5,'S3'!D45,IF($C$2=26.5,'S3'!E45,IF($C$2=27.5,'S3'!F45,IF($C$2=28.5,'S3'!G45,IF($C$2=29.5,'S3'!H45,IF($C$2=30.5,'S3'!I45,IF($C$2=31.5,'S3'!J45,IF($C$2=32.5,'S3'!K45,IF($C$2=33.5,'S3'!L45))))))))))))</f>
        <v>103.52</v>
      </c>
      <c r="D45" s="74">
        <f t="shared" si="2"/>
        <v>144.93</v>
      </c>
      <c r="E45" s="74">
        <f>IF($E$2=22.5,'S3'!Y45,IF($E$2=23.5,'S3'!Z45,IF($E$2=24.5,'S3'!AA45,IF($E$2=25.5,'S3'!AB45,IF($E$2=26.5,'S3'!AC45,IF($E$2=27.5,'S3'!AD45,IF($E$2=28.5,'S3'!AE45,IF($E$2=29.5,'S3'!AF45,IF($E$2=30.5,'S3'!AG45,IF($E$2=31.5,'S3'!AH45,IF($E$2=32.5,'S3'!AI45,IF($E$2=33.5,'S3'!AJ45))))))))))))</f>
        <v>64.38</v>
      </c>
      <c r="F45" s="74">
        <f t="shared" si="1"/>
        <v>90.13</v>
      </c>
    </row>
    <row r="46" spans="2:58">
      <c r="B46" s="148">
        <v>42</v>
      </c>
      <c r="C46" s="74">
        <f>IF($C$2=22.5,'S3'!A46,IF($C$2=23.5,'S3'!B46,IF($C$2=24.5,'S3'!C46,IF($C$2=25.5,'S3'!D46,IF($C$2=26.5,'S3'!E46,IF($C$2=27.5,'S3'!F46,IF($C$2=28.5,'S3'!G46,IF($C$2=29.5,'S3'!H46,IF($C$2=30.5,'S3'!I46,IF($C$2=31.5,'S3'!J46,IF($C$2=32.5,'S3'!K46,IF($C$2=33.5,'S3'!L46))))))))))))</f>
        <v>106.02</v>
      </c>
      <c r="D46" s="74">
        <f t="shared" si="2"/>
        <v>148.43</v>
      </c>
      <c r="E46" s="74">
        <f>IF($E$2=22.5,'S3'!Y46,IF($E$2=23.5,'S3'!Z46,IF($E$2=24.5,'S3'!AA46,IF($E$2=25.5,'S3'!AB46,IF($E$2=26.5,'S3'!AC46,IF($E$2=27.5,'S3'!AD46,IF($E$2=28.5,'S3'!AE46,IF($E$2=29.5,'S3'!AF46,IF($E$2=30.5,'S3'!AG46,IF($E$2=31.5,'S3'!AH46,IF($E$2=32.5,'S3'!AI46,IF($E$2=33.5,'S3'!AJ46))))))))))))</f>
        <v>65.94</v>
      </c>
      <c r="F46" s="74">
        <f t="shared" si="1"/>
        <v>92.32</v>
      </c>
    </row>
    <row r="47" spans="2:58">
      <c r="B47" s="148">
        <v>43</v>
      </c>
      <c r="C47" s="74">
        <f>IF($C$2=22.5,'S3'!A47,IF($C$2=23.5,'S3'!B47,IF($C$2=24.5,'S3'!C47,IF($C$2=25.5,'S3'!D47,IF($C$2=26.5,'S3'!E47,IF($C$2=27.5,'S3'!F47,IF($C$2=28.5,'S3'!G47,IF($C$2=29.5,'S3'!H47,IF($C$2=30.5,'S3'!I47,IF($C$2=31.5,'S3'!J47,IF($C$2=32.5,'S3'!K47,IF($C$2=33.5,'S3'!L47))))))))))))</f>
        <v>108.5</v>
      </c>
      <c r="D47" s="74">
        <f t="shared" si="2"/>
        <v>151.9</v>
      </c>
      <c r="E47" s="74">
        <f>IF($E$2=22.5,'S3'!Y47,IF($E$2=23.5,'S3'!Z47,IF($E$2=24.5,'S3'!AA47,IF($E$2=25.5,'S3'!AB47,IF($E$2=26.5,'S3'!AC47,IF($E$2=27.5,'S3'!AD47,IF($E$2=28.5,'S3'!AE47,IF($E$2=29.5,'S3'!AF47,IF($E$2=30.5,'S3'!AG47,IF($E$2=31.5,'S3'!AH47,IF($E$2=32.5,'S3'!AI47,IF($E$2=33.5,'S3'!AJ47))))))))))))</f>
        <v>67.489999999999995</v>
      </c>
      <c r="F47" s="74">
        <f t="shared" si="1"/>
        <v>94.49</v>
      </c>
    </row>
    <row r="48" spans="2:58">
      <c r="B48" s="148">
        <v>44</v>
      </c>
      <c r="C48" s="74">
        <f>IF($C$2=22.5,'S3'!A48,IF($C$2=23.5,'S3'!B48,IF($C$2=24.5,'S3'!C48,IF($C$2=25.5,'S3'!D48,IF($C$2=26.5,'S3'!E48,IF($C$2=27.5,'S3'!F48,IF($C$2=28.5,'S3'!G48,IF($C$2=29.5,'S3'!H48,IF($C$2=30.5,'S3'!I48,IF($C$2=31.5,'S3'!J48,IF($C$2=32.5,'S3'!K48,IF($C$2=33.5,'S3'!L48))))))))))))</f>
        <v>111</v>
      </c>
      <c r="D48" s="74">
        <f t="shared" si="2"/>
        <v>155.4</v>
      </c>
      <c r="E48" s="74">
        <f>IF($E$2=22.5,'S3'!Y48,IF($E$2=23.5,'S3'!Z48,IF($E$2=24.5,'S3'!AA48,IF($E$2=25.5,'S3'!AB48,IF($E$2=26.5,'S3'!AC48,IF($E$2=27.5,'S3'!AD48,IF($E$2=28.5,'S3'!AE48,IF($E$2=29.5,'S3'!AF48,IF($E$2=30.5,'S3'!AG48,IF($E$2=31.5,'S3'!AH48,IF($E$2=32.5,'S3'!AI48,IF($E$2=33.5,'S3'!AJ48))))))))))))</f>
        <v>69.05</v>
      </c>
      <c r="F48" s="74">
        <f t="shared" si="1"/>
        <v>96.67</v>
      </c>
    </row>
    <row r="49" spans="2:6">
      <c r="B49" s="148">
        <v>45</v>
      </c>
      <c r="C49" s="74">
        <f>IF($C$2=22.5,'S3'!A49,IF($C$2=23.5,'S3'!B49,IF($C$2=24.5,'S3'!C49,IF($C$2=25.5,'S3'!D49,IF($C$2=26.5,'S3'!E49,IF($C$2=27.5,'S3'!F49,IF($C$2=28.5,'S3'!G49,IF($C$2=29.5,'S3'!H49,IF($C$2=30.5,'S3'!I49,IF($C$2=31.5,'S3'!J49,IF($C$2=32.5,'S3'!K49,IF($C$2=33.5,'S3'!L49))))))))))))</f>
        <v>113.49</v>
      </c>
      <c r="D49" s="74">
        <f t="shared" si="2"/>
        <v>158.88999999999999</v>
      </c>
      <c r="E49" s="74">
        <f>IF($E$2=22.5,'S3'!Y49,IF($E$2=23.5,'S3'!Z49,IF($E$2=24.5,'S3'!AA49,IF($E$2=25.5,'S3'!AB49,IF($E$2=26.5,'S3'!AC49,IF($E$2=27.5,'S3'!AD49,IF($E$2=28.5,'S3'!AE49,IF($E$2=29.5,'S3'!AF49,IF($E$2=30.5,'S3'!AG49,IF($E$2=31.5,'S3'!AH49,IF($E$2=32.5,'S3'!AI49,IF($E$2=33.5,'S3'!AJ49))))))))))))</f>
        <v>70.61</v>
      </c>
      <c r="F49" s="74">
        <f t="shared" si="1"/>
        <v>98.85</v>
      </c>
    </row>
    <row r="50" spans="2:6">
      <c r="B50" s="148">
        <v>46</v>
      </c>
      <c r="C50" s="74">
        <f>IF($C$2=22.5,'S3'!A50,IF($C$2=23.5,'S3'!B50,IF($C$2=24.5,'S3'!C50,IF($C$2=25.5,'S3'!D50,IF($C$2=26.5,'S3'!E50,IF($C$2=27.5,'S3'!F50,IF($C$2=28.5,'S3'!G50,IF($C$2=29.5,'S3'!H50,IF($C$2=30.5,'S3'!I50,IF($C$2=31.5,'S3'!J50,IF($C$2=32.5,'S3'!K50,IF($C$2=33.5,'S3'!L50))))))))))))</f>
        <v>115.99</v>
      </c>
      <c r="D50" s="74">
        <f t="shared" si="2"/>
        <v>162.38999999999999</v>
      </c>
      <c r="E50" s="74">
        <f>IF($E$2=22.5,'S3'!Y50,IF($E$2=23.5,'S3'!Z50,IF($E$2=24.5,'S3'!AA50,IF($E$2=25.5,'S3'!AB50,IF($E$2=26.5,'S3'!AC50,IF($E$2=27.5,'S3'!AD50,IF($E$2=28.5,'S3'!AE50,IF($E$2=29.5,'S3'!AF50,IF($E$2=30.5,'S3'!AG50,IF($E$2=31.5,'S3'!AH50,IF($E$2=32.5,'S3'!AI50,IF($E$2=33.5,'S3'!AJ50))))))))))))</f>
        <v>72.17</v>
      </c>
      <c r="F50" s="74">
        <f t="shared" si="1"/>
        <v>101.04</v>
      </c>
    </row>
    <row r="51" spans="2:6">
      <c r="B51" s="148">
        <v>47</v>
      </c>
      <c r="C51" s="74">
        <f>IF($C$2=22.5,'S3'!A51,IF($C$2=23.5,'S3'!B51,IF($C$2=24.5,'S3'!C51,IF($C$2=25.5,'S3'!D51,IF($C$2=26.5,'S3'!E51,IF($C$2=27.5,'S3'!F51,IF($C$2=28.5,'S3'!G51,IF($C$2=29.5,'S3'!H51,IF($C$2=30.5,'S3'!I51,IF($C$2=31.5,'S3'!J51,IF($C$2=32.5,'S3'!K51,IF($C$2=33.5,'S3'!L51))))))))))))</f>
        <v>118.47</v>
      </c>
      <c r="D51" s="74">
        <f t="shared" si="2"/>
        <v>165.86</v>
      </c>
      <c r="E51" s="74">
        <f>IF($E$2=22.5,'S3'!Y51,IF($E$2=23.5,'S3'!Z51,IF($E$2=24.5,'S3'!AA51,IF($E$2=25.5,'S3'!AB51,IF($E$2=26.5,'S3'!AC51,IF($E$2=27.5,'S3'!AD51,IF($E$2=28.5,'S3'!AE51,IF($E$2=29.5,'S3'!AF51,IF($E$2=30.5,'S3'!AG51,IF($E$2=31.5,'S3'!AH51,IF($E$2=32.5,'S3'!AI51,IF($E$2=33.5,'S3'!AJ51))))))))))))</f>
        <v>73.73</v>
      </c>
      <c r="F51" s="74">
        <f t="shared" si="1"/>
        <v>103.22</v>
      </c>
    </row>
    <row r="52" spans="2:6">
      <c r="B52" s="148">
        <v>48</v>
      </c>
      <c r="C52" s="74">
        <f>IF($C$2=22.5,'S3'!A52,IF($C$2=23.5,'S3'!B52,IF($C$2=24.5,'S3'!C52,IF($C$2=25.5,'S3'!D52,IF($C$2=26.5,'S3'!E52,IF($C$2=27.5,'S3'!F52,IF($C$2=28.5,'S3'!G52,IF($C$2=29.5,'S3'!H52,IF($C$2=30.5,'S3'!I52,IF($C$2=31.5,'S3'!J52,IF($C$2=32.5,'S3'!K52,IF($C$2=33.5,'S3'!L52))))))))))))</f>
        <v>120.97</v>
      </c>
      <c r="D52" s="74">
        <f t="shared" si="2"/>
        <v>169.36</v>
      </c>
      <c r="E52" s="74">
        <f>IF($E$2=22.5,'S3'!Y52,IF($E$2=23.5,'S3'!Z52,IF($E$2=24.5,'S3'!AA52,IF($E$2=25.5,'S3'!AB52,IF($E$2=26.5,'S3'!AC52,IF($E$2=27.5,'S3'!AD52,IF($E$2=28.5,'S3'!AE52,IF($E$2=29.5,'S3'!AF52,IF($E$2=30.5,'S3'!AG52,IF($E$2=31.5,'S3'!AH52,IF($E$2=32.5,'S3'!AI52,IF($E$2=33.5,'S3'!AJ52))))))))))))</f>
        <v>75.27</v>
      </c>
      <c r="F52" s="74">
        <f t="shared" si="1"/>
        <v>105.38</v>
      </c>
    </row>
    <row r="53" spans="2:6">
      <c r="B53" s="148">
        <v>49</v>
      </c>
      <c r="C53" s="74">
        <f>IF($C$2=22.5,'S3'!A53,IF($C$2=23.5,'S3'!B53,IF($C$2=24.5,'S3'!C53,IF($C$2=25.5,'S3'!D53,IF($C$2=26.5,'S3'!E53,IF($C$2=27.5,'S3'!F53,IF($C$2=28.5,'S3'!G53,IF($C$2=29.5,'S3'!H53,IF($C$2=30.5,'S3'!I53,IF($C$2=31.5,'S3'!J53,IF($C$2=32.5,'S3'!K53,IF($C$2=33.5,'S3'!L53))))))))))))</f>
        <v>123.45</v>
      </c>
      <c r="D53" s="74">
        <f t="shared" si="2"/>
        <v>172.83</v>
      </c>
      <c r="E53" s="74">
        <f>IF($E$2=22.5,'S3'!Y53,IF($E$2=23.5,'S3'!Z53,IF($E$2=24.5,'S3'!AA53,IF($E$2=25.5,'S3'!AB53,IF($E$2=26.5,'S3'!AC53,IF($E$2=27.5,'S3'!AD53,IF($E$2=28.5,'S3'!AE53,IF($E$2=29.5,'S3'!AF53,IF($E$2=30.5,'S3'!AG53,IF($E$2=31.5,'S3'!AH53,IF($E$2=32.5,'S3'!AI53,IF($E$2=33.5,'S3'!AJ53))))))))))))</f>
        <v>76.83</v>
      </c>
      <c r="F53" s="74">
        <f t="shared" si="1"/>
        <v>107.56</v>
      </c>
    </row>
    <row r="54" spans="2:6">
      <c r="B54" s="148">
        <v>50</v>
      </c>
      <c r="C54" s="74">
        <f>IF($C$2=22.5,'S3'!A54,IF($C$2=23.5,'S3'!B54,IF($C$2=24.5,'S3'!C54,IF($C$2=25.5,'S3'!D54,IF($C$2=26.5,'S3'!E54,IF($C$2=27.5,'S3'!F54,IF($C$2=28.5,'S3'!G54,IF($C$2=29.5,'S3'!H54,IF($C$2=30.5,'S3'!I54,IF($C$2=31.5,'S3'!J54,IF($C$2=32.5,'S3'!K54,IF($C$2=33.5,'S3'!L54))))))))))))</f>
        <v>125.94</v>
      </c>
      <c r="D54" s="74">
        <f t="shared" si="2"/>
        <v>176.32</v>
      </c>
      <c r="E54" s="74">
        <f>IF($E$2=22.5,'S3'!Y54,IF($E$2=23.5,'S3'!Z54,IF($E$2=24.5,'S3'!AA54,IF($E$2=25.5,'S3'!AB54,IF($E$2=26.5,'S3'!AC54,IF($E$2=27.5,'S3'!AD54,IF($E$2=28.5,'S3'!AE54,IF($E$2=29.5,'S3'!AF54,IF($E$2=30.5,'S3'!AG54,IF($E$2=31.5,'S3'!AH54,IF($E$2=32.5,'S3'!AI54,IF($E$2=33.5,'S3'!AJ54))))))))))))</f>
        <v>78.38</v>
      </c>
      <c r="F54" s="74">
        <f t="shared" si="1"/>
        <v>109.73</v>
      </c>
    </row>
    <row r="55" spans="2:6">
      <c r="B55" s="148">
        <v>51</v>
      </c>
      <c r="C55" s="74">
        <f>IF($C$2=22.5,'S3'!A55,IF($C$2=23.5,'S3'!B55,IF($C$2=24.5,'S3'!C55,IF($C$2=25.5,'S3'!D55,IF($C$2=26.5,'S3'!E55,IF($C$2=27.5,'S3'!F55,IF($C$2=28.5,'S3'!G55,IF($C$2=29.5,'S3'!H55,IF($C$2=30.5,'S3'!I55,IF($C$2=31.5,'S3'!J55,IF($C$2=32.5,'S3'!K55,IF($C$2=33.5,'S3'!L55))))))))))))</f>
        <v>128.44999999999999</v>
      </c>
      <c r="D55" s="74">
        <f t="shared" si="2"/>
        <v>179.83</v>
      </c>
      <c r="E55" s="74">
        <f>IF($E$2=22.5,'S3'!Y55,IF($E$2=23.5,'S3'!Z55,IF($E$2=24.5,'S3'!AA55,IF($E$2=25.5,'S3'!AB55,IF($E$2=26.5,'S3'!AC55,IF($E$2=27.5,'S3'!AD55,IF($E$2=28.5,'S3'!AE55,IF($E$2=29.5,'S3'!AF55,IF($E$2=30.5,'S3'!AG55,IF($E$2=31.5,'S3'!AH55,IF($E$2=32.5,'S3'!AI55,IF($E$2=33.5,'S3'!AJ55))))))))))))</f>
        <v>79.94</v>
      </c>
      <c r="F55" s="74">
        <f t="shared" si="1"/>
        <v>111.92</v>
      </c>
    </row>
    <row r="56" spans="2:6">
      <c r="B56" s="148">
        <v>52</v>
      </c>
      <c r="C56" s="74">
        <f>IF($C$2=22.5,'S3'!A56,IF($C$2=23.5,'S3'!B56,IF($C$2=24.5,'S3'!C56,IF($C$2=25.5,'S3'!D56,IF($C$2=26.5,'S3'!E56,IF($C$2=27.5,'S3'!F56,IF($C$2=28.5,'S3'!G56,IF($C$2=29.5,'S3'!H56,IF($C$2=30.5,'S3'!I56,IF($C$2=31.5,'S3'!J56,IF($C$2=32.5,'S3'!K56,IF($C$2=33.5,'S3'!L56))))))))))))</f>
        <v>130.93</v>
      </c>
      <c r="D56" s="74">
        <f t="shared" si="2"/>
        <v>183.3</v>
      </c>
      <c r="E56" s="74">
        <f>IF($E$2=22.5,'S3'!Y56,IF($E$2=23.5,'S3'!Z56,IF($E$2=24.5,'S3'!AA56,IF($E$2=25.5,'S3'!AB56,IF($E$2=26.5,'S3'!AC56,IF($E$2=27.5,'S3'!AD56,IF($E$2=28.5,'S3'!AE56,IF($E$2=29.5,'S3'!AF56,IF($E$2=30.5,'S3'!AG56,IF($E$2=31.5,'S3'!AH56,IF($E$2=32.5,'S3'!AI56,IF($E$2=33.5,'S3'!AJ56))))))))))))</f>
        <v>81.489999999999995</v>
      </c>
      <c r="F56" s="74">
        <f t="shared" si="1"/>
        <v>114.09</v>
      </c>
    </row>
    <row r="57" spans="2:6">
      <c r="B57" s="148">
        <v>53</v>
      </c>
      <c r="C57" s="74">
        <f>IF($C$2=22.5,'S3'!A57,IF($C$2=23.5,'S3'!B57,IF($C$2=24.5,'S3'!C57,IF($C$2=25.5,'S3'!D57,IF($C$2=26.5,'S3'!E57,IF($C$2=27.5,'S3'!F57,IF($C$2=28.5,'S3'!G57,IF($C$2=29.5,'S3'!H57,IF($C$2=30.5,'S3'!I57,IF($C$2=31.5,'S3'!J57,IF($C$2=32.5,'S3'!K57,IF($C$2=33.5,'S3'!L57))))))))))))</f>
        <v>133.43</v>
      </c>
      <c r="D57" s="74">
        <f t="shared" si="2"/>
        <v>186.8</v>
      </c>
      <c r="E57" s="74">
        <f>IF($E$2=22.5,'S3'!Y57,IF($E$2=23.5,'S3'!Z57,IF($E$2=24.5,'S3'!AA57,IF($E$2=25.5,'S3'!AB57,IF($E$2=26.5,'S3'!AC57,IF($E$2=27.5,'S3'!AD57,IF($E$2=28.5,'S3'!AE57,IF($E$2=29.5,'S3'!AF57,IF($E$2=30.5,'S3'!AG57,IF($E$2=31.5,'S3'!AH57,IF($E$2=32.5,'S3'!AI57,IF($E$2=33.5,'S3'!AJ57))))))))))))</f>
        <v>83.04</v>
      </c>
      <c r="F57" s="74">
        <f t="shared" si="1"/>
        <v>116.26</v>
      </c>
    </row>
    <row r="58" spans="2:6">
      <c r="B58" s="148">
        <v>54</v>
      </c>
      <c r="C58" s="74">
        <f>IF($C$2=22.5,'S3'!A58,IF($C$2=23.5,'S3'!B58,IF($C$2=24.5,'S3'!C58,IF($C$2=25.5,'S3'!D58,IF($C$2=26.5,'S3'!E58,IF($C$2=27.5,'S3'!F58,IF($C$2=28.5,'S3'!G58,IF($C$2=29.5,'S3'!H58,IF($C$2=30.5,'S3'!I58,IF($C$2=31.5,'S3'!J58,IF($C$2=32.5,'S3'!K58,IF($C$2=33.5,'S3'!L58))))))))))))</f>
        <v>135.94</v>
      </c>
      <c r="D58" s="74">
        <f t="shared" si="2"/>
        <v>190.32</v>
      </c>
      <c r="E58" s="74">
        <f>IF($E$2=22.5,'S3'!Y58,IF($E$2=23.5,'S3'!Z58,IF($E$2=24.5,'S3'!AA58,IF($E$2=25.5,'S3'!AB58,IF($E$2=26.5,'S3'!AC58,IF($E$2=27.5,'S3'!AD58,IF($E$2=28.5,'S3'!AE58,IF($E$2=29.5,'S3'!AF58,IF($E$2=30.5,'S3'!AG58,IF($E$2=31.5,'S3'!AH58,IF($E$2=32.5,'S3'!AI58,IF($E$2=33.5,'S3'!AJ58))))))))))))</f>
        <v>84.6</v>
      </c>
      <c r="F58" s="74">
        <f t="shared" si="1"/>
        <v>118.44</v>
      </c>
    </row>
    <row r="59" spans="2:6">
      <c r="B59" s="148">
        <v>55</v>
      </c>
      <c r="C59" s="74">
        <f>IF($C$2=22.5,'S3'!A59,IF($C$2=23.5,'S3'!B59,IF($C$2=24.5,'S3'!C59,IF($C$2=25.5,'S3'!D59,IF($C$2=26.5,'S3'!E59,IF($C$2=27.5,'S3'!F59,IF($C$2=28.5,'S3'!G59,IF($C$2=29.5,'S3'!H59,IF($C$2=30.5,'S3'!I59,IF($C$2=31.5,'S3'!J59,IF($C$2=32.5,'S3'!K59,IF($C$2=33.5,'S3'!L59))))))))))))</f>
        <v>138.41</v>
      </c>
      <c r="D59" s="74">
        <f t="shared" si="2"/>
        <v>193.77</v>
      </c>
      <c r="E59" s="74">
        <f>IF($E$2=22.5,'S3'!Y59,IF($E$2=23.5,'S3'!Z59,IF($E$2=24.5,'S3'!AA59,IF($E$2=25.5,'S3'!AB59,IF($E$2=26.5,'S3'!AC59,IF($E$2=27.5,'S3'!AD59,IF($E$2=28.5,'S3'!AE59,IF($E$2=29.5,'S3'!AF59,IF($E$2=30.5,'S3'!AG59,IF($E$2=31.5,'S3'!AH59,IF($E$2=32.5,'S3'!AI59,IF($E$2=33.5,'S3'!AJ59))))))))))))</f>
        <v>86.16</v>
      </c>
      <c r="F59" s="74">
        <f t="shared" si="1"/>
        <v>120.62</v>
      </c>
    </row>
    <row r="60" spans="2:6">
      <c r="B60" s="148">
        <v>56</v>
      </c>
      <c r="C60" s="74">
        <f>IF($C$2=22.5,'S3'!A60,IF($C$2=23.5,'S3'!B60,IF($C$2=24.5,'S3'!C60,IF($C$2=25.5,'S3'!D60,IF($C$2=26.5,'S3'!E60,IF($C$2=27.5,'S3'!F60,IF($C$2=28.5,'S3'!G60,IF($C$2=29.5,'S3'!H60,IF($C$2=30.5,'S3'!I60,IF($C$2=31.5,'S3'!J60,IF($C$2=32.5,'S3'!K60,IF($C$2=33.5,'S3'!L60))))))))))))</f>
        <v>140.9</v>
      </c>
      <c r="D60" s="74">
        <f t="shared" si="2"/>
        <v>197.26</v>
      </c>
      <c r="E60" s="74">
        <f>IF($E$2=22.5,'S3'!Y60,IF($E$2=23.5,'S3'!Z60,IF($E$2=24.5,'S3'!AA60,IF($E$2=25.5,'S3'!AB60,IF($E$2=26.5,'S3'!AC60,IF($E$2=27.5,'S3'!AD60,IF($E$2=28.5,'S3'!AE60,IF($E$2=29.5,'S3'!AF60,IF($E$2=30.5,'S3'!AG60,IF($E$2=31.5,'S3'!AH60,IF($E$2=32.5,'S3'!AI60,IF($E$2=33.5,'S3'!AJ60))))))))))))</f>
        <v>87.71</v>
      </c>
      <c r="F60" s="74">
        <f t="shared" si="1"/>
        <v>122.79</v>
      </c>
    </row>
    <row r="61" spans="2:6">
      <c r="B61" s="148">
        <v>57</v>
      </c>
      <c r="C61" s="74">
        <f>IF($C$2=22.5,'S3'!A61,IF($C$2=23.5,'S3'!B61,IF($C$2=24.5,'S3'!C61,IF($C$2=25.5,'S3'!D61,IF($C$2=26.5,'S3'!E61,IF($C$2=27.5,'S3'!F61,IF($C$2=28.5,'S3'!G61,IF($C$2=29.5,'S3'!H61,IF($C$2=30.5,'S3'!I61,IF($C$2=31.5,'S3'!J61,IF($C$2=32.5,'S3'!K61,IF($C$2=33.5,'S3'!L61))))))))))))</f>
        <v>143.41</v>
      </c>
      <c r="D61" s="74">
        <f t="shared" si="2"/>
        <v>200.77</v>
      </c>
      <c r="E61" s="74">
        <f>IF($E$2=22.5,'S3'!Y61,IF($E$2=23.5,'S3'!Z61,IF($E$2=24.5,'S3'!AA61,IF($E$2=25.5,'S3'!AB61,IF($E$2=26.5,'S3'!AC61,IF($E$2=27.5,'S3'!AD61,IF($E$2=28.5,'S3'!AE61,IF($E$2=29.5,'S3'!AF61,IF($E$2=30.5,'S3'!AG61,IF($E$2=31.5,'S3'!AH61,IF($E$2=32.5,'S3'!AI61,IF($E$2=33.5,'S3'!AJ61))))))))))))</f>
        <v>89.26</v>
      </c>
      <c r="F61" s="74">
        <f t="shared" si="1"/>
        <v>124.96</v>
      </c>
    </row>
    <row r="62" spans="2:6">
      <c r="B62" s="148">
        <v>58</v>
      </c>
      <c r="C62" s="74">
        <f>IF($C$2=22.5,'S3'!A62,IF($C$2=23.5,'S3'!B62,IF($C$2=24.5,'S3'!C62,IF($C$2=25.5,'S3'!D62,IF($C$2=26.5,'S3'!E62,IF($C$2=27.5,'S3'!F62,IF($C$2=28.5,'S3'!G62,IF($C$2=29.5,'S3'!H62,IF($C$2=30.5,'S3'!I62,IF($C$2=31.5,'S3'!J62,IF($C$2=32.5,'S3'!K62,IF($C$2=33.5,'S3'!L62))))))))))))</f>
        <v>145.93</v>
      </c>
      <c r="D62" s="74">
        <f t="shared" si="2"/>
        <v>204.3</v>
      </c>
      <c r="E62" s="74">
        <f>IF($E$2=22.5,'S3'!Y62,IF($E$2=23.5,'S3'!Z62,IF($E$2=24.5,'S3'!AA62,IF($E$2=25.5,'S3'!AB62,IF($E$2=26.5,'S3'!AC62,IF($E$2=27.5,'S3'!AD62,IF($E$2=28.5,'S3'!AE62,IF($E$2=29.5,'S3'!AF62,IF($E$2=30.5,'S3'!AG62,IF($E$2=31.5,'S3'!AH62,IF($E$2=32.5,'S3'!AI62,IF($E$2=33.5,'S3'!AJ62))))))))))))</f>
        <v>90.82</v>
      </c>
      <c r="F62" s="74">
        <f t="shared" si="1"/>
        <v>127.15</v>
      </c>
    </row>
    <row r="63" spans="2:6">
      <c r="B63" s="148">
        <v>59</v>
      </c>
      <c r="C63" s="74">
        <f>IF($C$2=22.5,'S3'!A63,IF($C$2=23.5,'S3'!B63,IF($C$2=24.5,'S3'!C63,IF($C$2=25.5,'S3'!D63,IF($C$2=26.5,'S3'!E63,IF($C$2=27.5,'S3'!F63,IF($C$2=28.5,'S3'!G63,IF($C$2=29.5,'S3'!H63,IF($C$2=30.5,'S3'!I63,IF($C$2=31.5,'S3'!J63,IF($C$2=32.5,'S3'!K63,IF($C$2=33.5,'S3'!L63))))))))))))</f>
        <v>148.41</v>
      </c>
      <c r="D63" s="74">
        <f t="shared" si="2"/>
        <v>207.77</v>
      </c>
      <c r="E63" s="74">
        <f>IF($E$2=22.5,'S3'!Y63,IF($E$2=23.5,'S3'!Z63,IF($E$2=24.5,'S3'!AA63,IF($E$2=25.5,'S3'!AB63,IF($E$2=26.5,'S3'!AC63,IF($E$2=27.5,'S3'!AD63,IF($E$2=28.5,'S3'!AE63,IF($E$2=29.5,'S3'!AF63,IF($E$2=30.5,'S3'!AG63,IF($E$2=31.5,'S3'!AH63,IF($E$2=32.5,'S3'!AI63,IF($E$2=33.5,'S3'!AJ63))))))))))))</f>
        <v>92.38</v>
      </c>
      <c r="F63" s="74">
        <f t="shared" si="1"/>
        <v>129.33000000000001</v>
      </c>
    </row>
    <row r="64" spans="2:6">
      <c r="B64" s="148">
        <v>60</v>
      </c>
      <c r="C64" s="74">
        <f>IF($C$2=22.5,'S3'!A64,IF($C$2=23.5,'S3'!B64,IF($C$2=24.5,'S3'!C64,IF($C$2=25.5,'S3'!D64,IF($C$2=26.5,'S3'!E64,IF($C$2=27.5,'S3'!F64,IF($C$2=28.5,'S3'!G64,IF($C$2=29.5,'S3'!H64,IF($C$2=30.5,'S3'!I64,IF($C$2=31.5,'S3'!J64,IF($C$2=32.5,'S3'!K64,IF($C$2=33.5,'S3'!L64))))))))))))</f>
        <v>150.9</v>
      </c>
      <c r="D64" s="74">
        <f t="shared" si="2"/>
        <v>211.26</v>
      </c>
      <c r="E64" s="74">
        <f>IF($E$2=22.5,'S3'!Y64,IF($E$2=23.5,'S3'!Z64,IF($E$2=24.5,'S3'!AA64,IF($E$2=25.5,'S3'!AB64,IF($E$2=26.5,'S3'!AC64,IF($E$2=27.5,'S3'!AD64,IF($E$2=28.5,'S3'!AE64,IF($E$2=29.5,'S3'!AF64,IF($E$2=30.5,'S3'!AG64,IF($E$2=31.5,'S3'!AH64,IF($E$2=32.5,'S3'!AI64,IF($E$2=33.5,'S3'!AJ64))))))))))))</f>
        <v>93.94</v>
      </c>
      <c r="F64" s="74">
        <f t="shared" si="1"/>
        <v>131.52000000000001</v>
      </c>
    </row>
    <row r="65" spans="2:6">
      <c r="B65" s="148">
        <v>61</v>
      </c>
      <c r="C65" s="74">
        <f>IF($C$2=22.5,'S3'!A65,IF($C$2=23.5,'S3'!B65,IF($C$2=24.5,'S3'!C65,IF($C$2=25.5,'S3'!D65,IF($C$2=26.5,'S3'!E65,IF($C$2=27.5,'S3'!F65,IF($C$2=28.5,'S3'!G65,IF($C$2=29.5,'S3'!H65,IF($C$2=30.5,'S3'!I65,IF($C$2=31.5,'S3'!J65,IF($C$2=32.5,'S3'!K65,IF($C$2=33.5,'S3'!L65))))))))))))</f>
        <v>153.4</v>
      </c>
      <c r="D65" s="74">
        <f t="shared" si="2"/>
        <v>214.76</v>
      </c>
      <c r="E65" s="74">
        <f>IF($E$2=22.5,'S3'!Y65,IF($E$2=23.5,'S3'!Z65,IF($E$2=24.5,'S3'!AA65,IF($E$2=25.5,'S3'!AB65,IF($E$2=26.5,'S3'!AC65,IF($E$2=27.5,'S3'!AD65,IF($E$2=28.5,'S3'!AE65,IF($E$2=29.5,'S3'!AF65,IF($E$2=30.5,'S3'!AG65,IF($E$2=31.5,'S3'!AH65,IF($E$2=32.5,'S3'!AI65,IF($E$2=33.5,'S3'!AJ65))))))))))))</f>
        <v>95.49</v>
      </c>
      <c r="F65" s="74">
        <f t="shared" si="1"/>
        <v>133.69</v>
      </c>
    </row>
    <row r="66" spans="2:6">
      <c r="B66" s="148">
        <v>62</v>
      </c>
      <c r="C66" s="74">
        <f>IF($C$2=22.5,'S3'!A66,IF($C$2=23.5,'S3'!B66,IF($C$2=24.5,'S3'!C66,IF($C$2=25.5,'S3'!D66,IF($C$2=26.5,'S3'!E66,IF($C$2=27.5,'S3'!F66,IF($C$2=28.5,'S3'!G66,IF($C$2=29.5,'S3'!H66,IF($C$2=30.5,'S3'!I66,IF($C$2=31.5,'S3'!J66,IF($C$2=32.5,'S3'!K66,IF($C$2=33.5,'S3'!L66))))))))))))</f>
        <v>155.91999999999999</v>
      </c>
      <c r="D66" s="74">
        <f t="shared" si="2"/>
        <v>218.29</v>
      </c>
      <c r="E66" s="74">
        <f>IF($E$2=22.5,'S3'!Y66,IF($E$2=23.5,'S3'!Z66,IF($E$2=24.5,'S3'!AA66,IF($E$2=25.5,'S3'!AB66,IF($E$2=26.5,'S3'!AC66,IF($E$2=27.5,'S3'!AD66,IF($E$2=28.5,'S3'!AE66,IF($E$2=29.5,'S3'!AF66,IF($E$2=30.5,'S3'!AG66,IF($E$2=31.5,'S3'!AH66,IF($E$2=32.5,'S3'!AI66,IF($E$2=33.5,'S3'!AJ66))))))))))))</f>
        <v>97.04</v>
      </c>
      <c r="F66" s="74">
        <f t="shared" si="1"/>
        <v>135.86000000000001</v>
      </c>
    </row>
    <row r="67" spans="2:6">
      <c r="B67" s="148">
        <v>63</v>
      </c>
      <c r="C67" s="74">
        <f>IF($C$2=22.5,'S3'!A67,IF($C$2=23.5,'S3'!B67,IF($C$2=24.5,'S3'!C67,IF($C$2=25.5,'S3'!D67,IF($C$2=26.5,'S3'!E67,IF($C$2=27.5,'S3'!F67,IF($C$2=28.5,'S3'!G67,IF($C$2=29.5,'S3'!H67,IF($C$2=30.5,'S3'!I67,IF($C$2=31.5,'S3'!J67,IF($C$2=32.5,'S3'!K67,IF($C$2=33.5,'S3'!L67))))))))))))</f>
        <v>158.38</v>
      </c>
      <c r="D67" s="74">
        <f t="shared" si="2"/>
        <v>221.73</v>
      </c>
      <c r="E67" s="74">
        <f>IF($E$2=22.5,'S3'!Y67,IF($E$2=23.5,'S3'!Z67,IF($E$2=24.5,'S3'!AA67,IF($E$2=25.5,'S3'!AB67,IF($E$2=26.5,'S3'!AC67,IF($E$2=27.5,'S3'!AD67,IF($E$2=28.5,'S3'!AE67,IF($E$2=29.5,'S3'!AF67,IF($E$2=30.5,'S3'!AG67,IF($E$2=31.5,'S3'!AH67,IF($E$2=32.5,'S3'!AI67,IF($E$2=33.5,'S3'!AJ67))))))))))))</f>
        <v>98.6</v>
      </c>
      <c r="F67" s="74">
        <f t="shared" si="1"/>
        <v>138.04</v>
      </c>
    </row>
    <row r="68" spans="2:6">
      <c r="B68" s="148">
        <v>64</v>
      </c>
      <c r="C68" s="74">
        <f>IF($C$2=22.5,'S3'!A68,IF($C$2=23.5,'S3'!B68,IF($C$2=24.5,'S3'!C68,IF($C$2=25.5,'S3'!D68,IF($C$2=26.5,'S3'!E68,IF($C$2=27.5,'S3'!F68,IF($C$2=28.5,'S3'!G68,IF($C$2=29.5,'S3'!H68,IF($C$2=30.5,'S3'!I68,IF($C$2=31.5,'S3'!J68,IF($C$2=32.5,'S3'!K68,IF($C$2=33.5,'S3'!L68))))))))))))</f>
        <v>160.86000000000001</v>
      </c>
      <c r="D68" s="74">
        <f t="shared" si="2"/>
        <v>225.2</v>
      </c>
      <c r="E68" s="74">
        <f>IF($E$2=22.5,'S3'!Y68,IF($E$2=23.5,'S3'!Z68,IF($E$2=24.5,'S3'!AA68,IF($E$2=25.5,'S3'!AB68,IF($E$2=26.5,'S3'!AC68,IF($E$2=27.5,'S3'!AD68,IF($E$2=28.5,'S3'!AE68,IF($E$2=29.5,'S3'!AF68,IF($E$2=30.5,'S3'!AG68,IF($E$2=31.5,'S3'!AH68,IF($E$2=32.5,'S3'!AI68,IF($E$2=33.5,'S3'!AJ68))))))))))))</f>
        <v>100.16</v>
      </c>
      <c r="F68" s="74">
        <f t="shared" si="1"/>
        <v>140.22</v>
      </c>
    </row>
    <row r="69" spans="2:6">
      <c r="B69" s="148">
        <v>65</v>
      </c>
      <c r="C69" s="74">
        <f>IF($C$2=22.5,'S3'!A69,IF($C$2=23.5,'S3'!B69,IF($C$2=24.5,'S3'!C69,IF($C$2=25.5,'S3'!D69,IF($C$2=26.5,'S3'!E69,IF($C$2=27.5,'S3'!F69,IF($C$2=28.5,'S3'!G69,IF($C$2=29.5,'S3'!H69,IF($C$2=30.5,'S3'!I69,IF($C$2=31.5,'S3'!J69,IF($C$2=32.5,'S3'!K69,IF($C$2=33.5,'S3'!L69))))))))))))</f>
        <v>163.35</v>
      </c>
      <c r="D69" s="74">
        <f t="shared" si="2"/>
        <v>228.69</v>
      </c>
      <c r="E69" s="74">
        <f>IF($E$2=22.5,'S3'!Y69,IF($E$2=23.5,'S3'!Z69,IF($E$2=24.5,'S3'!AA69,IF($E$2=25.5,'S3'!AB69,IF($E$2=26.5,'S3'!AC69,IF($E$2=27.5,'S3'!AD69,IF($E$2=28.5,'S3'!AE69,IF($E$2=29.5,'S3'!AF69,IF($E$2=30.5,'S3'!AG69,IF($E$2=31.5,'S3'!AH69,IF($E$2=32.5,'S3'!AI69,IF($E$2=33.5,'S3'!AJ69))))))))))))</f>
        <v>101.7</v>
      </c>
      <c r="F69" s="74">
        <f t="shared" si="1"/>
        <v>142.38</v>
      </c>
    </row>
    <row r="70" spans="2:6">
      <c r="B70" s="148">
        <v>66</v>
      </c>
      <c r="C70" s="74">
        <f>IF($C$2=22.5,'S3'!A70,IF($C$2=23.5,'S3'!B70,IF($C$2=24.5,'S3'!C70,IF($C$2=25.5,'S3'!D70,IF($C$2=26.5,'S3'!E70,IF($C$2=27.5,'S3'!F70,IF($C$2=28.5,'S3'!G70,IF($C$2=29.5,'S3'!H70,IF($C$2=30.5,'S3'!I70,IF($C$2=31.5,'S3'!J70,IF($C$2=32.5,'S3'!K70,IF($C$2=33.5,'S3'!L70))))))))))))</f>
        <v>165.85</v>
      </c>
      <c r="D70" s="74">
        <f t="shared" si="2"/>
        <v>232.19</v>
      </c>
      <c r="E70" s="74">
        <f>IF($E$2=22.5,'S3'!Y70,IF($E$2=23.5,'S3'!Z70,IF($E$2=24.5,'S3'!AA70,IF($E$2=25.5,'S3'!AB70,IF($E$2=26.5,'S3'!AC70,IF($E$2=27.5,'S3'!AD70,IF($E$2=28.5,'S3'!AE70,IF($E$2=29.5,'S3'!AF70,IF($E$2=30.5,'S3'!AG70,IF($E$2=31.5,'S3'!AH70,IF($E$2=32.5,'S3'!AI70,IF($E$2=33.5,'S3'!AJ70))))))))))))</f>
        <v>103.27</v>
      </c>
      <c r="F70" s="74">
        <f t="shared" ref="F70:F133" si="8">ROUND(E70*1.4,2)</f>
        <v>144.58000000000001</v>
      </c>
    </row>
    <row r="71" spans="2:6">
      <c r="B71" s="148">
        <v>67</v>
      </c>
      <c r="C71" s="74">
        <f>IF($C$2=22.5,'S3'!A71,IF($C$2=23.5,'S3'!B71,IF($C$2=24.5,'S3'!C71,IF($C$2=25.5,'S3'!D71,IF($C$2=26.5,'S3'!E71,IF($C$2=27.5,'S3'!F71,IF($C$2=28.5,'S3'!G71,IF($C$2=29.5,'S3'!H71,IF($C$2=30.5,'S3'!I71,IF($C$2=31.5,'S3'!J71,IF($C$2=32.5,'S3'!K71,IF($C$2=33.5,'S3'!L71))))))))))))</f>
        <v>168.37</v>
      </c>
      <c r="D71" s="74">
        <f t="shared" ref="D71:D134" si="9">ROUND(C71*1.4,2)</f>
        <v>235.72</v>
      </c>
      <c r="E71" s="74">
        <f>IF($E$2=22.5,'S3'!Y71,IF($E$2=23.5,'S3'!Z71,IF($E$2=24.5,'S3'!AA71,IF($E$2=25.5,'S3'!AB71,IF($E$2=26.5,'S3'!AC71,IF($E$2=27.5,'S3'!AD71,IF($E$2=28.5,'S3'!AE71,IF($E$2=29.5,'S3'!AF71,IF($E$2=30.5,'S3'!AG71,IF($E$2=31.5,'S3'!AH71,IF($E$2=32.5,'S3'!AI71,IF($E$2=33.5,'S3'!AJ71))))))))))))</f>
        <v>104.82</v>
      </c>
      <c r="F71" s="74">
        <f t="shared" si="8"/>
        <v>146.75</v>
      </c>
    </row>
    <row r="72" spans="2:6">
      <c r="B72" s="148">
        <v>68</v>
      </c>
      <c r="C72" s="74">
        <f>IF($C$2=22.5,'S3'!A72,IF($C$2=23.5,'S3'!B72,IF($C$2=24.5,'S3'!C72,IF($C$2=25.5,'S3'!D72,IF($C$2=26.5,'S3'!E72,IF($C$2=27.5,'S3'!F72,IF($C$2=28.5,'S3'!G72,IF($C$2=29.5,'S3'!H72,IF($C$2=30.5,'S3'!I72,IF($C$2=31.5,'S3'!J72,IF($C$2=32.5,'S3'!K72,IF($C$2=33.5,'S3'!L72))))))))))))</f>
        <v>170.82</v>
      </c>
      <c r="D72" s="74">
        <f t="shared" si="9"/>
        <v>239.15</v>
      </c>
      <c r="E72" s="74">
        <f>IF($E$2=22.5,'S3'!Y72,IF($E$2=23.5,'S3'!Z72,IF($E$2=24.5,'S3'!AA72,IF($E$2=25.5,'S3'!AB72,IF($E$2=26.5,'S3'!AC72,IF($E$2=27.5,'S3'!AD72,IF($E$2=28.5,'S3'!AE72,IF($E$2=29.5,'S3'!AF72,IF($E$2=30.5,'S3'!AG72,IF($E$2=31.5,'S3'!AH72,IF($E$2=32.5,'S3'!AI72,IF($E$2=33.5,'S3'!AJ72))))))))))))</f>
        <v>106.37</v>
      </c>
      <c r="F72" s="74">
        <f t="shared" si="8"/>
        <v>148.91999999999999</v>
      </c>
    </row>
    <row r="73" spans="2:6">
      <c r="B73" s="148">
        <v>69</v>
      </c>
      <c r="C73" s="74">
        <f>IF($C$2=22.5,'S3'!A73,IF($C$2=23.5,'S3'!B73,IF($C$2=24.5,'S3'!C73,IF($C$2=25.5,'S3'!D73,IF($C$2=26.5,'S3'!E73,IF($C$2=27.5,'S3'!F73,IF($C$2=28.5,'S3'!G73,IF($C$2=29.5,'S3'!H73,IF($C$2=30.5,'S3'!I73,IF($C$2=31.5,'S3'!J73,IF($C$2=32.5,'S3'!K73,IF($C$2=33.5,'S3'!L73))))))))))))</f>
        <v>173.36</v>
      </c>
      <c r="D73" s="74">
        <f t="shared" si="9"/>
        <v>242.7</v>
      </c>
      <c r="E73" s="74">
        <f>IF($E$2=22.5,'S3'!Y73,IF($E$2=23.5,'S3'!Z73,IF($E$2=24.5,'S3'!AA73,IF($E$2=25.5,'S3'!AB73,IF($E$2=26.5,'S3'!AC73,IF($E$2=27.5,'S3'!AD73,IF($E$2=28.5,'S3'!AE73,IF($E$2=29.5,'S3'!AF73,IF($E$2=30.5,'S3'!AG73,IF($E$2=31.5,'S3'!AH73,IF($E$2=32.5,'S3'!AI73,IF($E$2=33.5,'S3'!AJ73))))))))))))</f>
        <v>107.92</v>
      </c>
      <c r="F73" s="74">
        <f t="shared" si="8"/>
        <v>151.09</v>
      </c>
    </row>
    <row r="74" spans="2:6">
      <c r="B74" s="148">
        <v>70</v>
      </c>
      <c r="C74" s="74">
        <f>IF($C$2=22.5,'S3'!A74,IF($C$2=23.5,'S3'!B74,IF($C$2=24.5,'S3'!C74,IF($C$2=25.5,'S3'!D74,IF($C$2=26.5,'S3'!E74,IF($C$2=27.5,'S3'!F74,IF($C$2=28.5,'S3'!G74,IF($C$2=29.5,'S3'!H74,IF($C$2=30.5,'S3'!I74,IF($C$2=31.5,'S3'!J74,IF($C$2=32.5,'S3'!K74,IF($C$2=33.5,'S3'!L74))))))))))))</f>
        <v>175.84</v>
      </c>
      <c r="D74" s="74">
        <f t="shared" si="9"/>
        <v>246.18</v>
      </c>
      <c r="E74" s="74">
        <f>IF($E$2=22.5,'S3'!Y74,IF($E$2=23.5,'S3'!Z74,IF($E$2=24.5,'S3'!AA74,IF($E$2=25.5,'S3'!AB74,IF($E$2=26.5,'S3'!AC74,IF($E$2=27.5,'S3'!AD74,IF($E$2=28.5,'S3'!AE74,IF($E$2=29.5,'S3'!AF74,IF($E$2=30.5,'S3'!AG74,IF($E$2=31.5,'S3'!AH74,IF($E$2=32.5,'S3'!AI74,IF($E$2=33.5,'S3'!AJ74))))))))))))</f>
        <v>109.48</v>
      </c>
      <c r="F74" s="74">
        <f t="shared" si="8"/>
        <v>153.27000000000001</v>
      </c>
    </row>
    <row r="75" spans="2:6">
      <c r="B75" s="148">
        <v>71</v>
      </c>
      <c r="C75" s="74">
        <f>IF($C$2=22.5,'S3'!A75,IF($C$2=23.5,'S3'!B75,IF($C$2=24.5,'S3'!C75,IF($C$2=25.5,'S3'!D75,IF($C$2=26.5,'S3'!E75,IF($C$2=27.5,'S3'!F75,IF($C$2=28.5,'S3'!G75,IF($C$2=29.5,'S3'!H75,IF($C$2=30.5,'S3'!I75,IF($C$2=31.5,'S3'!J75,IF($C$2=32.5,'S3'!K75,IF($C$2=33.5,'S3'!L75))))))))))))</f>
        <v>178.32</v>
      </c>
      <c r="D75" s="74">
        <f t="shared" si="9"/>
        <v>249.65</v>
      </c>
      <c r="E75" s="74">
        <f>IF($E$2=22.5,'S3'!Y75,IF($E$2=23.5,'S3'!Z75,IF($E$2=24.5,'S3'!AA75,IF($E$2=25.5,'S3'!AB75,IF($E$2=26.5,'S3'!AC75,IF($E$2=27.5,'S3'!AD75,IF($E$2=28.5,'S3'!AE75,IF($E$2=29.5,'S3'!AF75,IF($E$2=30.5,'S3'!AG75,IF($E$2=31.5,'S3'!AH75,IF($E$2=32.5,'S3'!AI75,IF($E$2=33.5,'S3'!AJ75))))))))))))</f>
        <v>111.04</v>
      </c>
      <c r="F75" s="74">
        <f t="shared" si="8"/>
        <v>155.46</v>
      </c>
    </row>
    <row r="76" spans="2:6">
      <c r="B76" s="148">
        <v>72</v>
      </c>
      <c r="C76" s="74">
        <f>IF($C$2=22.5,'S3'!A76,IF($C$2=23.5,'S3'!B76,IF($C$2=24.5,'S3'!C76,IF($C$2=25.5,'S3'!D76,IF($C$2=26.5,'S3'!E76,IF($C$2=27.5,'S3'!F76,IF($C$2=28.5,'S3'!G76,IF($C$2=29.5,'S3'!H76,IF($C$2=30.5,'S3'!I76,IF($C$2=31.5,'S3'!J76,IF($C$2=32.5,'S3'!K76,IF($C$2=33.5,'S3'!L76))))))))))))</f>
        <v>180.82</v>
      </c>
      <c r="D76" s="74">
        <f t="shared" si="9"/>
        <v>253.15</v>
      </c>
      <c r="E76" s="74">
        <f>IF($E$2=22.5,'S3'!Y76,IF($E$2=23.5,'S3'!Z76,IF($E$2=24.5,'S3'!AA76,IF($E$2=25.5,'S3'!AB76,IF($E$2=26.5,'S3'!AC76,IF($E$2=27.5,'S3'!AD76,IF($E$2=28.5,'S3'!AE76,IF($E$2=29.5,'S3'!AF76,IF($E$2=30.5,'S3'!AG76,IF($E$2=31.5,'S3'!AH76,IF($E$2=32.5,'S3'!AI76,IF($E$2=33.5,'S3'!AJ76))))))))))))</f>
        <v>112.61</v>
      </c>
      <c r="F76" s="74">
        <f t="shared" si="8"/>
        <v>157.65</v>
      </c>
    </row>
    <row r="77" spans="2:6">
      <c r="B77" s="148">
        <v>73</v>
      </c>
      <c r="C77" s="74">
        <f>IF($C$2=22.5,'S3'!A77,IF($C$2=23.5,'S3'!B77,IF($C$2=24.5,'S3'!C77,IF($C$2=25.5,'S3'!D77,IF($C$2=26.5,'S3'!E77,IF($C$2=27.5,'S3'!F77,IF($C$2=28.5,'S3'!G77,IF($C$2=29.5,'S3'!H77,IF($C$2=30.5,'S3'!I77,IF($C$2=31.5,'S3'!J77,IF($C$2=32.5,'S3'!K77,IF($C$2=33.5,'S3'!L77))))))))))))</f>
        <v>183.33</v>
      </c>
      <c r="D77" s="74">
        <f t="shared" si="9"/>
        <v>256.66000000000003</v>
      </c>
      <c r="E77" s="74">
        <f>IF($E$2=22.5,'S3'!Y77,IF($E$2=23.5,'S3'!Z77,IF($E$2=24.5,'S3'!AA77,IF($E$2=25.5,'S3'!AB77,IF($E$2=26.5,'S3'!AC77,IF($E$2=27.5,'S3'!AD77,IF($E$2=28.5,'S3'!AE77,IF($E$2=29.5,'S3'!AF77,IF($E$2=30.5,'S3'!AG77,IF($E$2=31.5,'S3'!AH77,IF($E$2=32.5,'S3'!AI77,IF($E$2=33.5,'S3'!AJ77))))))))))))</f>
        <v>114.15</v>
      </c>
      <c r="F77" s="74">
        <f t="shared" si="8"/>
        <v>159.81</v>
      </c>
    </row>
    <row r="78" spans="2:6">
      <c r="B78" s="148">
        <v>74</v>
      </c>
      <c r="C78" s="74">
        <f>IF($C$2=22.5,'S3'!A78,IF($C$2=23.5,'S3'!B78,IF($C$2=24.5,'S3'!C78,IF($C$2=25.5,'S3'!D78,IF($C$2=26.5,'S3'!E78,IF($C$2=27.5,'S3'!F78,IF($C$2=28.5,'S3'!G78,IF($C$2=29.5,'S3'!H78,IF($C$2=30.5,'S3'!I78,IF($C$2=31.5,'S3'!J78,IF($C$2=32.5,'S3'!K78,IF($C$2=33.5,'S3'!L78))))))))))))</f>
        <v>185.85</v>
      </c>
      <c r="D78" s="74">
        <f t="shared" si="9"/>
        <v>260.19</v>
      </c>
      <c r="E78" s="74">
        <f>IF($E$2=22.5,'S3'!Y78,IF($E$2=23.5,'S3'!Z78,IF($E$2=24.5,'S3'!AA78,IF($E$2=25.5,'S3'!AB78,IF($E$2=26.5,'S3'!AC78,IF($E$2=27.5,'S3'!AD78,IF($E$2=28.5,'S3'!AE78,IF($E$2=29.5,'S3'!AF78,IF($E$2=30.5,'S3'!AG78,IF($E$2=31.5,'S3'!AH78,IF($E$2=32.5,'S3'!AI78,IF($E$2=33.5,'S3'!AJ78))))))))))))</f>
        <v>115.72</v>
      </c>
      <c r="F78" s="74">
        <f t="shared" si="8"/>
        <v>162.01</v>
      </c>
    </row>
    <row r="79" spans="2:6">
      <c r="B79" s="148">
        <v>75</v>
      </c>
      <c r="C79" s="74">
        <f>IF($C$2=22.5,'S3'!A79,IF($C$2=23.5,'S3'!B79,IF($C$2=24.5,'S3'!C79,IF($C$2=25.5,'S3'!D79,IF($C$2=26.5,'S3'!E79,IF($C$2=27.5,'S3'!F79,IF($C$2=28.5,'S3'!G79,IF($C$2=29.5,'S3'!H79,IF($C$2=30.5,'S3'!I79,IF($C$2=31.5,'S3'!J79,IF($C$2=32.5,'S3'!K79,IF($C$2=33.5,'S3'!L79))))))))))))</f>
        <v>188.29</v>
      </c>
      <c r="D79" s="74">
        <f t="shared" si="9"/>
        <v>263.61</v>
      </c>
      <c r="E79" s="74">
        <f>IF($E$2=22.5,'S3'!Y79,IF($E$2=23.5,'S3'!Z79,IF($E$2=24.5,'S3'!AA79,IF($E$2=25.5,'S3'!AB79,IF($E$2=26.5,'S3'!AC79,IF($E$2=27.5,'S3'!AD79,IF($E$2=28.5,'S3'!AE79,IF($E$2=29.5,'S3'!AF79,IF($E$2=30.5,'S3'!AG79,IF($E$2=31.5,'S3'!AH79,IF($E$2=32.5,'S3'!AI79,IF($E$2=33.5,'S3'!AJ79))))))))))))</f>
        <v>117.27</v>
      </c>
      <c r="F79" s="74">
        <f t="shared" si="8"/>
        <v>164.18</v>
      </c>
    </row>
    <row r="80" spans="2:6">
      <c r="B80" s="148">
        <v>76</v>
      </c>
      <c r="C80" s="74">
        <f>IF($C$2=22.5,'S3'!A80,IF($C$2=23.5,'S3'!B80,IF($C$2=24.5,'S3'!C80,IF($C$2=25.5,'S3'!D80,IF($C$2=26.5,'S3'!E80,IF($C$2=27.5,'S3'!F80,IF($C$2=28.5,'S3'!G80,IF($C$2=29.5,'S3'!H80,IF($C$2=30.5,'S3'!I80,IF($C$2=31.5,'S3'!J80,IF($C$2=32.5,'S3'!K80,IF($C$2=33.5,'S3'!L80))))))))))))</f>
        <v>190.83</v>
      </c>
      <c r="D80" s="74">
        <f t="shared" si="9"/>
        <v>267.16000000000003</v>
      </c>
      <c r="E80" s="74">
        <f>IF($E$2=22.5,'S3'!Y80,IF($E$2=23.5,'S3'!Z80,IF($E$2=24.5,'S3'!AA80,IF($E$2=25.5,'S3'!AB80,IF($E$2=26.5,'S3'!AC80,IF($E$2=27.5,'S3'!AD80,IF($E$2=28.5,'S3'!AE80,IF($E$2=29.5,'S3'!AF80,IF($E$2=30.5,'S3'!AG80,IF($E$2=31.5,'S3'!AH80,IF($E$2=32.5,'S3'!AI80,IF($E$2=33.5,'S3'!AJ80))))))))))))</f>
        <v>118.82</v>
      </c>
      <c r="F80" s="74">
        <f t="shared" si="8"/>
        <v>166.35</v>
      </c>
    </row>
    <row r="81" spans="2:6">
      <c r="B81" s="148">
        <v>77</v>
      </c>
      <c r="C81" s="74">
        <f>IF($C$2=22.5,'S3'!A81,IF($C$2=23.5,'S3'!B81,IF($C$2=24.5,'S3'!C81,IF($C$2=25.5,'S3'!D81,IF($C$2=26.5,'S3'!E81,IF($C$2=27.5,'S3'!F81,IF($C$2=28.5,'S3'!G81,IF($C$2=29.5,'S3'!H81,IF($C$2=30.5,'S3'!I81,IF($C$2=31.5,'S3'!J81,IF($C$2=32.5,'S3'!K81,IF($C$2=33.5,'S3'!L81))))))))))))</f>
        <v>193.29</v>
      </c>
      <c r="D81" s="74">
        <f t="shared" si="9"/>
        <v>270.61</v>
      </c>
      <c r="E81" s="74">
        <f>IF($E$2=22.5,'S3'!Y81,IF($E$2=23.5,'S3'!Z81,IF($E$2=24.5,'S3'!AA81,IF($E$2=25.5,'S3'!AB81,IF($E$2=26.5,'S3'!AC81,IF($E$2=27.5,'S3'!AD81,IF($E$2=28.5,'S3'!AE81,IF($E$2=29.5,'S3'!AF81,IF($E$2=30.5,'S3'!AG81,IF($E$2=31.5,'S3'!AH81,IF($E$2=32.5,'S3'!AI81,IF($E$2=33.5,'S3'!AJ81))))))))))))</f>
        <v>120.37</v>
      </c>
      <c r="F81" s="74">
        <f t="shared" si="8"/>
        <v>168.52</v>
      </c>
    </row>
    <row r="82" spans="2:6">
      <c r="B82" s="148">
        <v>78</v>
      </c>
      <c r="C82" s="74">
        <f>IF($C$2=22.5,'S3'!A82,IF($C$2=23.5,'S3'!B82,IF($C$2=24.5,'S3'!C82,IF($C$2=25.5,'S3'!D82,IF($C$2=26.5,'S3'!E82,IF($C$2=27.5,'S3'!F82,IF($C$2=28.5,'S3'!G82,IF($C$2=29.5,'S3'!H82,IF($C$2=30.5,'S3'!I82,IF($C$2=31.5,'S3'!J82,IF($C$2=32.5,'S3'!K82,IF($C$2=33.5,'S3'!L82))))))))))))</f>
        <v>195.76</v>
      </c>
      <c r="D82" s="74">
        <f t="shared" si="9"/>
        <v>274.06</v>
      </c>
      <c r="E82" s="74">
        <f>IF($E$2=22.5,'S3'!Y82,IF($E$2=23.5,'S3'!Z82,IF($E$2=24.5,'S3'!AA82,IF($E$2=25.5,'S3'!AB82,IF($E$2=26.5,'S3'!AC82,IF($E$2=27.5,'S3'!AD82,IF($E$2=28.5,'S3'!AE82,IF($E$2=29.5,'S3'!AF82,IF($E$2=30.5,'S3'!AG82,IF($E$2=31.5,'S3'!AH82,IF($E$2=32.5,'S3'!AI82,IF($E$2=33.5,'S3'!AJ82))))))))))))</f>
        <v>121.93</v>
      </c>
      <c r="F82" s="74">
        <f t="shared" si="8"/>
        <v>170.7</v>
      </c>
    </row>
    <row r="83" spans="2:6">
      <c r="B83" s="148">
        <v>79</v>
      </c>
      <c r="C83" s="74">
        <f>IF($C$2=22.5,'S3'!A83,IF($C$2=23.5,'S3'!B83,IF($C$2=24.5,'S3'!C83,IF($C$2=25.5,'S3'!D83,IF($C$2=26.5,'S3'!E83,IF($C$2=27.5,'S3'!F83,IF($C$2=28.5,'S3'!G83,IF($C$2=29.5,'S3'!H83,IF($C$2=30.5,'S3'!I83,IF($C$2=31.5,'S3'!J83,IF($C$2=32.5,'S3'!K83,IF($C$2=33.5,'S3'!L83))))))))))))</f>
        <v>198.34</v>
      </c>
      <c r="D83" s="74">
        <f t="shared" si="9"/>
        <v>277.68</v>
      </c>
      <c r="E83" s="74">
        <f>IF($E$2=22.5,'S3'!Y83,IF($E$2=23.5,'S3'!Z83,IF($E$2=24.5,'S3'!AA83,IF($E$2=25.5,'S3'!AB83,IF($E$2=26.5,'S3'!AC83,IF($E$2=27.5,'S3'!AD83,IF($E$2=28.5,'S3'!AE83,IF($E$2=29.5,'S3'!AF83,IF($E$2=30.5,'S3'!AG83,IF($E$2=31.5,'S3'!AH83,IF($E$2=32.5,'S3'!AI83,IF($E$2=33.5,'S3'!AJ83))))))))))))</f>
        <v>123.48</v>
      </c>
      <c r="F83" s="74">
        <f t="shared" si="8"/>
        <v>172.87</v>
      </c>
    </row>
    <row r="84" spans="2:6">
      <c r="B84" s="148">
        <v>80</v>
      </c>
      <c r="C84" s="74">
        <f>IF($C$2=22.5,'S3'!A84,IF($C$2=23.5,'S3'!B84,IF($C$2=24.5,'S3'!C84,IF($C$2=25.5,'S3'!D84,IF($C$2=26.5,'S3'!E84,IF($C$2=27.5,'S3'!F84,IF($C$2=28.5,'S3'!G84,IF($C$2=29.5,'S3'!H84,IF($C$2=30.5,'S3'!I84,IF($C$2=31.5,'S3'!J84,IF($C$2=32.5,'S3'!K84,IF($C$2=33.5,'S3'!L84))))))))))))</f>
        <v>200.83</v>
      </c>
      <c r="D84" s="74">
        <f t="shared" si="9"/>
        <v>281.16000000000003</v>
      </c>
      <c r="E84" s="74">
        <f>IF($E$2=22.5,'S3'!Y84,IF($E$2=23.5,'S3'!Z84,IF($E$2=24.5,'S3'!AA84,IF($E$2=25.5,'S3'!AB84,IF($E$2=26.5,'S3'!AC84,IF($E$2=27.5,'S3'!AD84,IF($E$2=28.5,'S3'!AE84,IF($E$2=29.5,'S3'!AF84,IF($E$2=30.5,'S3'!AG84,IF($E$2=31.5,'S3'!AH84,IF($E$2=32.5,'S3'!AI84,IF($E$2=33.5,'S3'!AJ84))))))))))))</f>
        <v>125.05</v>
      </c>
      <c r="F84" s="74">
        <f t="shared" si="8"/>
        <v>175.07</v>
      </c>
    </row>
    <row r="85" spans="2:6">
      <c r="B85" s="148">
        <v>81</v>
      </c>
      <c r="C85" s="74">
        <f>IF($C$2=22.5,'S3'!A85,IF($C$2=23.5,'S3'!B85,IF($C$2=24.5,'S3'!C85,IF($C$2=25.5,'S3'!D85,IF($C$2=26.5,'S3'!E85,IF($C$2=27.5,'S3'!F85,IF($C$2=28.5,'S3'!G85,IF($C$2=29.5,'S3'!H85,IF($C$2=30.5,'S3'!I85,IF($C$2=31.5,'S3'!J85,IF($C$2=32.5,'S3'!K85,IF($C$2=33.5,'S3'!L85))))))))))))</f>
        <v>203.33</v>
      </c>
      <c r="D85" s="74">
        <f t="shared" si="9"/>
        <v>284.66000000000003</v>
      </c>
      <c r="E85" s="74">
        <f>IF($E$2=22.5,'S3'!Y85,IF($E$2=23.5,'S3'!Z85,IF($E$2=24.5,'S3'!AA85,IF($E$2=25.5,'S3'!AB85,IF($E$2=26.5,'S3'!AC85,IF($E$2=27.5,'S3'!AD85,IF($E$2=28.5,'S3'!AE85,IF($E$2=29.5,'S3'!AF85,IF($E$2=30.5,'S3'!AG85,IF($E$2=31.5,'S3'!AH85,IF($E$2=32.5,'S3'!AI85,IF($E$2=33.5,'S3'!AJ85))))))))))))</f>
        <v>126.61</v>
      </c>
      <c r="F85" s="74">
        <f t="shared" si="8"/>
        <v>177.25</v>
      </c>
    </row>
    <row r="86" spans="2:6">
      <c r="B86" s="148">
        <v>82</v>
      </c>
      <c r="C86" s="74">
        <f>IF($C$2=22.5,'S3'!A86,IF($C$2=23.5,'S3'!B86,IF($C$2=24.5,'S3'!C86,IF($C$2=25.5,'S3'!D86,IF($C$2=26.5,'S3'!E86,IF($C$2=27.5,'S3'!F86,IF($C$2=28.5,'S3'!G86,IF($C$2=29.5,'S3'!H86,IF($C$2=30.5,'S3'!I86,IF($C$2=31.5,'S3'!J86,IF($C$2=32.5,'S3'!K86,IF($C$2=33.5,'S3'!L86))))))))))))</f>
        <v>205.73</v>
      </c>
      <c r="D86" s="74">
        <f t="shared" si="9"/>
        <v>288.02</v>
      </c>
      <c r="E86" s="74">
        <f>IF($E$2=22.5,'S3'!Y86,IF($E$2=23.5,'S3'!Z86,IF($E$2=24.5,'S3'!AA86,IF($E$2=25.5,'S3'!AB86,IF($E$2=26.5,'S3'!AC86,IF($E$2=27.5,'S3'!AD86,IF($E$2=28.5,'S3'!AE86,IF($E$2=29.5,'S3'!AF86,IF($E$2=30.5,'S3'!AG86,IF($E$2=31.5,'S3'!AH86,IF($E$2=32.5,'S3'!AI86,IF($E$2=33.5,'S3'!AJ86))))))))))))</f>
        <v>128.15</v>
      </c>
      <c r="F86" s="74">
        <f t="shared" si="8"/>
        <v>179.41</v>
      </c>
    </row>
    <row r="87" spans="2:6">
      <c r="B87" s="148">
        <v>83</v>
      </c>
      <c r="C87" s="74">
        <f>IF($C$2=22.5,'S3'!A87,IF($C$2=23.5,'S3'!B87,IF($C$2=24.5,'S3'!C87,IF($C$2=25.5,'S3'!D87,IF($C$2=26.5,'S3'!E87,IF($C$2=27.5,'S3'!F87,IF($C$2=28.5,'S3'!G87,IF($C$2=29.5,'S3'!H87,IF($C$2=30.5,'S3'!I87,IF($C$2=31.5,'S3'!J87,IF($C$2=32.5,'S3'!K87,IF($C$2=33.5,'S3'!L87))))))))))))</f>
        <v>208.25</v>
      </c>
      <c r="D87" s="74">
        <f t="shared" si="9"/>
        <v>291.55</v>
      </c>
      <c r="E87" s="74">
        <f>IF($E$2=22.5,'S3'!Y87,IF($E$2=23.5,'S3'!Z87,IF($E$2=24.5,'S3'!AA87,IF($E$2=25.5,'S3'!AB87,IF($E$2=26.5,'S3'!AC87,IF($E$2=27.5,'S3'!AD87,IF($E$2=28.5,'S3'!AE87,IF($E$2=29.5,'S3'!AF87,IF($E$2=30.5,'S3'!AG87,IF($E$2=31.5,'S3'!AH87,IF($E$2=32.5,'S3'!AI87,IF($E$2=33.5,'S3'!AJ87))))))))))))</f>
        <v>129.72</v>
      </c>
      <c r="F87" s="74">
        <f t="shared" si="8"/>
        <v>181.61</v>
      </c>
    </row>
    <row r="88" spans="2:6">
      <c r="B88" s="148">
        <v>84</v>
      </c>
      <c r="C88" s="74">
        <f>IF($C$2=22.5,'S3'!A88,IF($C$2=23.5,'S3'!B88,IF($C$2=24.5,'S3'!C88,IF($C$2=25.5,'S3'!D88,IF($C$2=26.5,'S3'!E88,IF($C$2=27.5,'S3'!F88,IF($C$2=28.5,'S3'!G88,IF($C$2=29.5,'S3'!H88,IF($C$2=30.5,'S3'!I88,IF($C$2=31.5,'S3'!J88,IF($C$2=32.5,'S3'!K88,IF($C$2=33.5,'S3'!L88))))))))))))</f>
        <v>210.78</v>
      </c>
      <c r="D88" s="74">
        <f t="shared" si="9"/>
        <v>295.08999999999997</v>
      </c>
      <c r="E88" s="74">
        <f>IF($E$2=22.5,'S3'!Y88,IF($E$2=23.5,'S3'!Z88,IF($E$2=24.5,'S3'!AA88,IF($E$2=25.5,'S3'!AB88,IF($E$2=26.5,'S3'!AC88,IF($E$2=27.5,'S3'!AD88,IF($E$2=28.5,'S3'!AE88,IF($E$2=29.5,'S3'!AF88,IF($E$2=30.5,'S3'!AG88,IF($E$2=31.5,'S3'!AH88,IF($E$2=32.5,'S3'!AI88,IF($E$2=33.5,'S3'!AJ88))))))))))))</f>
        <v>131.36000000000001</v>
      </c>
      <c r="F88" s="74">
        <f t="shared" si="8"/>
        <v>183.9</v>
      </c>
    </row>
    <row r="89" spans="2:6">
      <c r="B89" s="148">
        <v>85</v>
      </c>
      <c r="C89" s="74">
        <f>IF($C$2=22.5,'S3'!A89,IF($C$2=23.5,'S3'!B89,IF($C$2=24.5,'S3'!C89,IF($C$2=25.5,'S3'!D89,IF($C$2=26.5,'S3'!E89,IF($C$2=27.5,'S3'!F89,IF($C$2=28.5,'S3'!G89,IF($C$2=29.5,'S3'!H89,IF($C$2=30.5,'S3'!I89,IF($C$2=31.5,'S3'!J89,IF($C$2=32.5,'S3'!K89,IF($C$2=33.5,'S3'!L89))))))))))))</f>
        <v>213.32</v>
      </c>
      <c r="D89" s="74">
        <f t="shared" si="9"/>
        <v>298.64999999999998</v>
      </c>
      <c r="E89" s="74">
        <f>IF($E$2=22.5,'S3'!Y89,IF($E$2=23.5,'S3'!Z89,IF($E$2=24.5,'S3'!AA89,IF($E$2=25.5,'S3'!AB89,IF($E$2=26.5,'S3'!AC89,IF($E$2=27.5,'S3'!AD89,IF($E$2=28.5,'S3'!AE89,IF($E$2=29.5,'S3'!AF89,IF($E$2=30.5,'S3'!AG89,IF($E$2=31.5,'S3'!AH89,IF($E$2=32.5,'S3'!AI89,IF($E$2=33.5,'S3'!AJ89))))))))))))</f>
        <v>132.83000000000001</v>
      </c>
      <c r="F89" s="74">
        <f t="shared" si="8"/>
        <v>185.96</v>
      </c>
    </row>
    <row r="90" spans="2:6">
      <c r="B90" s="148">
        <v>86</v>
      </c>
      <c r="C90" s="74">
        <f>IF($C$2=22.5,'S3'!A90,IF($C$2=23.5,'S3'!B90,IF($C$2=24.5,'S3'!C90,IF($C$2=25.5,'S3'!D90,IF($C$2=26.5,'S3'!E90,IF($C$2=27.5,'S3'!F90,IF($C$2=28.5,'S3'!G90,IF($C$2=29.5,'S3'!H90,IF($C$2=30.5,'S3'!I90,IF($C$2=31.5,'S3'!J90,IF($C$2=32.5,'S3'!K90,IF($C$2=33.5,'S3'!L90))))))))))))</f>
        <v>215.75</v>
      </c>
      <c r="D90" s="74">
        <f t="shared" si="9"/>
        <v>302.05</v>
      </c>
      <c r="E90" s="74">
        <f>IF($E$2=22.5,'S3'!Y90,IF($E$2=23.5,'S3'!Z90,IF($E$2=24.5,'S3'!AA90,IF($E$2=25.5,'S3'!AB90,IF($E$2=26.5,'S3'!AC90,IF($E$2=27.5,'S3'!AD90,IF($E$2=28.5,'S3'!AE90,IF($E$2=29.5,'S3'!AF90,IF($E$2=30.5,'S3'!AG90,IF($E$2=31.5,'S3'!AH90,IF($E$2=32.5,'S3'!AI90,IF($E$2=33.5,'S3'!AJ90))))))))))))</f>
        <v>134.38</v>
      </c>
      <c r="F90" s="74">
        <f t="shared" si="8"/>
        <v>188.13</v>
      </c>
    </row>
    <row r="91" spans="2:6">
      <c r="B91" s="148">
        <v>87</v>
      </c>
      <c r="C91" s="74">
        <f>IF($C$2=22.5,'S3'!A91,IF($C$2=23.5,'S3'!B91,IF($C$2=24.5,'S3'!C91,IF($C$2=25.5,'S3'!D91,IF($C$2=26.5,'S3'!E91,IF($C$2=27.5,'S3'!F91,IF($C$2=28.5,'S3'!G91,IF($C$2=29.5,'S3'!H91,IF($C$2=30.5,'S3'!I91,IF($C$2=31.5,'S3'!J91,IF($C$2=32.5,'S3'!K91,IF($C$2=33.5,'S3'!L91))))))))))))</f>
        <v>218.19</v>
      </c>
      <c r="D91" s="74">
        <f t="shared" si="9"/>
        <v>305.47000000000003</v>
      </c>
      <c r="E91" s="74">
        <f>IF($E$2=22.5,'S3'!Y91,IF($E$2=23.5,'S3'!Z91,IF($E$2=24.5,'S3'!AA91,IF($E$2=25.5,'S3'!AB91,IF($E$2=26.5,'S3'!AC91,IF($E$2=27.5,'S3'!AD91,IF($E$2=28.5,'S3'!AE91,IF($E$2=29.5,'S3'!AF91,IF($E$2=30.5,'S3'!AG91,IF($E$2=31.5,'S3'!AH91,IF($E$2=32.5,'S3'!AI91,IF($E$2=33.5,'S3'!AJ91))))))))))))</f>
        <v>135.91999999999999</v>
      </c>
      <c r="F91" s="74">
        <f t="shared" si="8"/>
        <v>190.29</v>
      </c>
    </row>
    <row r="92" spans="2:6">
      <c r="B92" s="148">
        <v>88</v>
      </c>
      <c r="C92" s="74">
        <f>IF($C$2=22.5,'S3'!A92,IF($C$2=23.5,'S3'!B92,IF($C$2=24.5,'S3'!C92,IF($C$2=25.5,'S3'!D92,IF($C$2=26.5,'S3'!E92,IF($C$2=27.5,'S3'!F92,IF($C$2=28.5,'S3'!G92,IF($C$2=29.5,'S3'!H92,IF($C$2=30.5,'S3'!I92,IF($C$2=31.5,'S3'!J92,IF($C$2=32.5,'S3'!K92,IF($C$2=33.5,'S3'!L92))))))))))))</f>
        <v>220.77</v>
      </c>
      <c r="D92" s="74">
        <f t="shared" si="9"/>
        <v>309.08</v>
      </c>
      <c r="E92" s="74">
        <f>IF($E$2=22.5,'S3'!Y92,IF($E$2=23.5,'S3'!Z92,IF($E$2=24.5,'S3'!AA92,IF($E$2=25.5,'S3'!AB92,IF($E$2=26.5,'S3'!AC92,IF($E$2=27.5,'S3'!AD92,IF($E$2=28.5,'S3'!AE92,IF($E$2=29.5,'S3'!AF92,IF($E$2=30.5,'S3'!AG92,IF($E$2=31.5,'S3'!AH92,IF($E$2=32.5,'S3'!AI92,IF($E$2=33.5,'S3'!AJ92))))))))))))</f>
        <v>137.47</v>
      </c>
      <c r="F92" s="74">
        <f t="shared" si="8"/>
        <v>192.46</v>
      </c>
    </row>
    <row r="93" spans="2:6">
      <c r="B93" s="148">
        <v>89</v>
      </c>
      <c r="C93" s="74">
        <f>IF($C$2=22.5,'S3'!A93,IF($C$2=23.5,'S3'!B93,IF($C$2=24.5,'S3'!C93,IF($C$2=25.5,'S3'!D93,IF($C$2=26.5,'S3'!E93,IF($C$2=27.5,'S3'!F93,IF($C$2=28.5,'S3'!G93,IF($C$2=29.5,'S3'!H93,IF($C$2=30.5,'S3'!I93,IF($C$2=31.5,'S3'!J93,IF($C$2=32.5,'S3'!K93,IF($C$2=33.5,'S3'!L93))))))))))))</f>
        <v>223.22</v>
      </c>
      <c r="D93" s="74">
        <f t="shared" si="9"/>
        <v>312.51</v>
      </c>
      <c r="E93" s="74">
        <f>IF($E$2=22.5,'S3'!Y93,IF($E$2=23.5,'S3'!Z93,IF($E$2=24.5,'S3'!AA93,IF($E$2=25.5,'S3'!AB93,IF($E$2=26.5,'S3'!AC93,IF($E$2=27.5,'S3'!AD93,IF($E$2=28.5,'S3'!AE93,IF($E$2=29.5,'S3'!AF93,IF($E$2=30.5,'S3'!AG93,IF($E$2=31.5,'S3'!AH93,IF($E$2=32.5,'S3'!AI93,IF($E$2=33.5,'S3'!AJ93))))))))))))</f>
        <v>139.02000000000001</v>
      </c>
      <c r="F93" s="74">
        <f t="shared" si="8"/>
        <v>194.63</v>
      </c>
    </row>
    <row r="94" spans="2:6">
      <c r="B94" s="148">
        <v>90</v>
      </c>
      <c r="C94" s="74">
        <f>IF($C$2=22.5,'S3'!A94,IF($C$2=23.5,'S3'!B94,IF($C$2=24.5,'S3'!C94,IF($C$2=25.5,'S3'!D94,IF($C$2=26.5,'S3'!E94,IF($C$2=27.5,'S3'!F94,IF($C$2=28.5,'S3'!G94,IF($C$2=29.5,'S3'!H94,IF($C$2=30.5,'S3'!I94,IF($C$2=31.5,'S3'!J94,IF($C$2=32.5,'S3'!K94,IF($C$2=33.5,'S3'!L94))))))))))))</f>
        <v>225.69</v>
      </c>
      <c r="D94" s="74">
        <f t="shared" si="9"/>
        <v>315.97000000000003</v>
      </c>
      <c r="E94" s="74">
        <f>IF($E$2=22.5,'S3'!Y94,IF($E$2=23.5,'S3'!Z94,IF($E$2=24.5,'S3'!AA94,IF($E$2=25.5,'S3'!AB94,IF($E$2=26.5,'S3'!AC94,IF($E$2=27.5,'S3'!AD94,IF($E$2=28.5,'S3'!AE94,IF($E$2=29.5,'S3'!AF94,IF($E$2=30.5,'S3'!AG94,IF($E$2=31.5,'S3'!AH94,IF($E$2=32.5,'S3'!AI94,IF($E$2=33.5,'S3'!AJ94))))))))))))</f>
        <v>140.61000000000001</v>
      </c>
      <c r="F94" s="74">
        <f t="shared" si="8"/>
        <v>196.85</v>
      </c>
    </row>
    <row r="95" spans="2:6">
      <c r="B95" s="148">
        <v>91</v>
      </c>
      <c r="C95" s="74">
        <f>IF($C$2=22.5,'S3'!A95,IF($C$2=23.5,'S3'!B95,IF($C$2=24.5,'S3'!C95,IF($C$2=25.5,'S3'!D95,IF($C$2=26.5,'S3'!E95,IF($C$2=27.5,'S3'!F95,IF($C$2=28.5,'S3'!G95,IF($C$2=29.5,'S3'!H95,IF($C$2=30.5,'S3'!I95,IF($C$2=31.5,'S3'!J95,IF($C$2=32.5,'S3'!K95,IF($C$2=33.5,'S3'!L95))))))))))))</f>
        <v>228.3</v>
      </c>
      <c r="D95" s="74">
        <f t="shared" si="9"/>
        <v>319.62</v>
      </c>
      <c r="E95" s="74">
        <f>IF($E$2=22.5,'S3'!Y95,IF($E$2=23.5,'S3'!Z95,IF($E$2=24.5,'S3'!AA95,IF($E$2=25.5,'S3'!AB95,IF($E$2=26.5,'S3'!AC95,IF($E$2=27.5,'S3'!AD95,IF($E$2=28.5,'S3'!AE95,IF($E$2=29.5,'S3'!AF95,IF($E$2=30.5,'S3'!AG95,IF($E$2=31.5,'S3'!AH95,IF($E$2=32.5,'S3'!AI95,IF($E$2=33.5,'S3'!AJ95))))))))))))</f>
        <v>142.16999999999999</v>
      </c>
      <c r="F95" s="74">
        <f t="shared" si="8"/>
        <v>199.04</v>
      </c>
    </row>
    <row r="96" spans="2:6">
      <c r="B96" s="148">
        <v>92</v>
      </c>
      <c r="C96" s="74">
        <f>IF($C$2=22.5,'S3'!A96,IF($C$2=23.5,'S3'!B96,IF($C$2=24.5,'S3'!C96,IF($C$2=25.5,'S3'!D96,IF($C$2=26.5,'S3'!E96,IF($C$2=27.5,'S3'!F96,IF($C$2=28.5,'S3'!G96,IF($C$2=29.5,'S3'!H96,IF($C$2=30.5,'S3'!I96,IF($C$2=31.5,'S3'!J96,IF($C$2=32.5,'S3'!K96,IF($C$2=33.5,'S3'!L96))))))))))))</f>
        <v>230.79</v>
      </c>
      <c r="D96" s="74">
        <f t="shared" si="9"/>
        <v>323.11</v>
      </c>
      <c r="E96" s="74">
        <f>IF($E$2=22.5,'S3'!Y96,IF($E$2=23.5,'S3'!Z96,IF($E$2=24.5,'S3'!AA96,IF($E$2=25.5,'S3'!AB96,IF($E$2=26.5,'S3'!AC96,IF($E$2=27.5,'S3'!AD96,IF($E$2=28.5,'S3'!AE96,IF($E$2=29.5,'S3'!AF96,IF($E$2=30.5,'S3'!AG96,IF($E$2=31.5,'S3'!AH96,IF($E$2=32.5,'S3'!AI96,IF($E$2=33.5,'S3'!AJ96))))))))))))</f>
        <v>143.69</v>
      </c>
      <c r="F96" s="74">
        <f t="shared" si="8"/>
        <v>201.17</v>
      </c>
    </row>
    <row r="97" spans="2:6">
      <c r="B97" s="148">
        <v>93</v>
      </c>
      <c r="C97" s="74">
        <f>IF($C$2=22.5,'S3'!A97,IF($C$2=23.5,'S3'!B97,IF($C$2=24.5,'S3'!C97,IF($C$2=25.5,'S3'!D97,IF($C$2=26.5,'S3'!E97,IF($C$2=27.5,'S3'!F97,IF($C$2=28.5,'S3'!G97,IF($C$2=29.5,'S3'!H97,IF($C$2=30.5,'S3'!I97,IF($C$2=31.5,'S3'!J97,IF($C$2=32.5,'S3'!K97,IF($C$2=33.5,'S3'!L97))))))))))))</f>
        <v>233.28</v>
      </c>
      <c r="D97" s="74">
        <f t="shared" si="9"/>
        <v>326.58999999999997</v>
      </c>
      <c r="E97" s="74">
        <f>IF($E$2=22.5,'S3'!Y97,IF($E$2=23.5,'S3'!Z97,IF($E$2=24.5,'S3'!AA97,IF($E$2=25.5,'S3'!AB97,IF($E$2=26.5,'S3'!AC97,IF($E$2=27.5,'S3'!AD97,IF($E$2=28.5,'S3'!AE97,IF($E$2=29.5,'S3'!AF97,IF($E$2=30.5,'S3'!AG97,IF($E$2=31.5,'S3'!AH97,IF($E$2=32.5,'S3'!AI97,IF($E$2=33.5,'S3'!AJ97))))))))))))</f>
        <v>145.25</v>
      </c>
      <c r="F97" s="74">
        <f t="shared" si="8"/>
        <v>203.35</v>
      </c>
    </row>
    <row r="98" spans="2:6">
      <c r="B98" s="148">
        <v>94</v>
      </c>
      <c r="C98" s="74">
        <f>IF($C$2=22.5,'S3'!A98,IF($C$2=23.5,'S3'!B98,IF($C$2=24.5,'S3'!C98,IF($C$2=25.5,'S3'!D98,IF($C$2=26.5,'S3'!E98,IF($C$2=27.5,'S3'!F98,IF($C$2=28.5,'S3'!G98,IF($C$2=29.5,'S3'!H98,IF($C$2=30.5,'S3'!I98,IF($C$2=31.5,'S3'!J98,IF($C$2=32.5,'S3'!K98,IF($C$2=33.5,'S3'!L98))))))))))))</f>
        <v>235.78</v>
      </c>
      <c r="D98" s="74">
        <f t="shared" si="9"/>
        <v>330.09</v>
      </c>
      <c r="E98" s="74">
        <f>IF($E$2=22.5,'S3'!Y98,IF($E$2=23.5,'S3'!Z98,IF($E$2=24.5,'S3'!AA98,IF($E$2=25.5,'S3'!AB98,IF($E$2=26.5,'S3'!AC98,IF($E$2=27.5,'S3'!AD98,IF($E$2=28.5,'S3'!AE98,IF($E$2=29.5,'S3'!AF98,IF($E$2=30.5,'S3'!AG98,IF($E$2=31.5,'S3'!AH98,IF($E$2=32.5,'S3'!AI98,IF($E$2=33.5,'S3'!AJ98))))))))))))</f>
        <v>146.81</v>
      </c>
      <c r="F98" s="74">
        <f t="shared" si="8"/>
        <v>205.53</v>
      </c>
    </row>
    <row r="99" spans="2:6">
      <c r="B99" s="148">
        <v>95</v>
      </c>
      <c r="C99" s="74">
        <f>IF($C$2=22.5,'S3'!A99,IF($C$2=23.5,'S3'!B99,IF($C$2=24.5,'S3'!C99,IF($C$2=25.5,'S3'!D99,IF($C$2=26.5,'S3'!E99,IF($C$2=27.5,'S3'!F99,IF($C$2=28.5,'S3'!G99,IF($C$2=29.5,'S3'!H99,IF($C$2=30.5,'S3'!I99,IF($C$2=31.5,'S3'!J99,IF($C$2=32.5,'S3'!K99,IF($C$2=33.5,'S3'!L99))))))))))))</f>
        <v>238.14</v>
      </c>
      <c r="D99" s="74">
        <f t="shared" si="9"/>
        <v>333.4</v>
      </c>
      <c r="E99" s="74">
        <f>IF($E$2=22.5,'S3'!Y99,IF($E$2=23.5,'S3'!Z99,IF($E$2=24.5,'S3'!AA99,IF($E$2=25.5,'S3'!AB99,IF($E$2=26.5,'S3'!AC99,IF($E$2=27.5,'S3'!AD99,IF($E$2=28.5,'S3'!AE99,IF($E$2=29.5,'S3'!AF99,IF($E$2=30.5,'S3'!AG99,IF($E$2=31.5,'S3'!AH99,IF($E$2=32.5,'S3'!AI99,IF($E$2=33.5,'S3'!AJ99))))))))))))</f>
        <v>148.38</v>
      </c>
      <c r="F99" s="74">
        <f t="shared" si="8"/>
        <v>207.73</v>
      </c>
    </row>
    <row r="100" spans="2:6">
      <c r="B100" s="148">
        <v>96</v>
      </c>
      <c r="C100" s="74">
        <f>IF($C$2=22.5,'S3'!A100,IF($C$2=23.5,'S3'!B100,IF($C$2=24.5,'S3'!C100,IF($C$2=25.5,'S3'!D100,IF($C$2=26.5,'S3'!E100,IF($C$2=27.5,'S3'!F100,IF($C$2=28.5,'S3'!G100,IF($C$2=29.5,'S3'!H100,IF($C$2=30.5,'S3'!I100,IF($C$2=31.5,'S3'!J100,IF($C$2=32.5,'S3'!K100,IF($C$2=33.5,'S3'!L100))))))))))))</f>
        <v>240.66</v>
      </c>
      <c r="D100" s="74">
        <f t="shared" si="9"/>
        <v>336.92</v>
      </c>
      <c r="E100" s="74">
        <f>IF($E$2=22.5,'S3'!Y100,IF($E$2=23.5,'S3'!Z100,IF($E$2=24.5,'S3'!AA100,IF($E$2=25.5,'S3'!AB100,IF($E$2=26.5,'S3'!AC100,IF($E$2=27.5,'S3'!AD100,IF($E$2=28.5,'S3'!AE100,IF($E$2=29.5,'S3'!AF100,IF($E$2=30.5,'S3'!AG100,IF($E$2=31.5,'S3'!AH100,IF($E$2=32.5,'S3'!AI100,IF($E$2=33.5,'S3'!AJ100))))))))))))</f>
        <v>149.94999999999999</v>
      </c>
      <c r="F100" s="74">
        <f t="shared" si="8"/>
        <v>209.93</v>
      </c>
    </row>
    <row r="101" spans="2:6">
      <c r="B101" s="148">
        <v>97</v>
      </c>
      <c r="C101" s="74">
        <f>IF($C$2=22.5,'S3'!A101,IF($C$2=23.5,'S3'!B101,IF($C$2=24.5,'S3'!C101,IF($C$2=25.5,'S3'!D101,IF($C$2=26.5,'S3'!E101,IF($C$2=27.5,'S3'!F101,IF($C$2=28.5,'S3'!G101,IF($C$2=29.5,'S3'!H101,IF($C$2=30.5,'S3'!I101,IF($C$2=31.5,'S3'!J101,IF($C$2=32.5,'S3'!K101,IF($C$2=33.5,'S3'!L101))))))))))))</f>
        <v>243.18</v>
      </c>
      <c r="D101" s="74">
        <f t="shared" si="9"/>
        <v>340.45</v>
      </c>
      <c r="E101" s="74">
        <f>IF($E$2=22.5,'S3'!Y101,IF($E$2=23.5,'S3'!Z101,IF($E$2=24.5,'S3'!AA101,IF($E$2=25.5,'S3'!AB101,IF($E$2=26.5,'S3'!AC101,IF($E$2=27.5,'S3'!AD101,IF($E$2=28.5,'S3'!AE101,IF($E$2=29.5,'S3'!AF101,IF($E$2=30.5,'S3'!AG101,IF($E$2=31.5,'S3'!AH101,IF($E$2=32.5,'S3'!AI101,IF($E$2=33.5,'S3'!AJ101))))))))))))</f>
        <v>151.47</v>
      </c>
      <c r="F101" s="74">
        <f t="shared" si="8"/>
        <v>212.06</v>
      </c>
    </row>
    <row r="102" spans="2:6">
      <c r="B102" s="148">
        <v>98</v>
      </c>
      <c r="C102" s="74">
        <f>IF($C$2=22.5,'S3'!A102,IF($C$2=23.5,'S3'!B102,IF($C$2=24.5,'S3'!C102,IF($C$2=25.5,'S3'!D102,IF($C$2=26.5,'S3'!E102,IF($C$2=27.5,'S3'!F102,IF($C$2=28.5,'S3'!G102,IF($C$2=29.5,'S3'!H102,IF($C$2=30.5,'S3'!I102,IF($C$2=31.5,'S3'!J102,IF($C$2=32.5,'S3'!K102,IF($C$2=33.5,'S3'!L102))))))))))))</f>
        <v>245.72</v>
      </c>
      <c r="D102" s="74">
        <f t="shared" si="9"/>
        <v>344.01</v>
      </c>
      <c r="E102" s="74">
        <f>IF($E$2=22.5,'S3'!Y102,IF($E$2=23.5,'S3'!Z102,IF($E$2=24.5,'S3'!AA102,IF($E$2=25.5,'S3'!AB102,IF($E$2=26.5,'S3'!AC102,IF($E$2=27.5,'S3'!AD102,IF($E$2=28.5,'S3'!AE102,IF($E$2=29.5,'S3'!AF102,IF($E$2=30.5,'S3'!AG102,IF($E$2=31.5,'S3'!AH102,IF($E$2=32.5,'S3'!AI102,IF($E$2=33.5,'S3'!AJ102))))))))))))</f>
        <v>153.05000000000001</v>
      </c>
      <c r="F102" s="74">
        <f t="shared" si="8"/>
        <v>214.27</v>
      </c>
    </row>
    <row r="103" spans="2:6">
      <c r="B103" s="148">
        <v>99</v>
      </c>
      <c r="C103" s="74">
        <f>IF($C$2=22.5,'S3'!A103,IF($C$2=23.5,'S3'!B103,IF($C$2=24.5,'S3'!C103,IF($C$2=25.5,'S3'!D103,IF($C$2=26.5,'S3'!E103,IF($C$2=27.5,'S3'!F103,IF($C$2=28.5,'S3'!G103,IF($C$2=29.5,'S3'!H103,IF($C$2=30.5,'S3'!I103,IF($C$2=31.5,'S3'!J103,IF($C$2=32.5,'S3'!K103,IF($C$2=33.5,'S3'!L103))))))))))))</f>
        <v>248.27</v>
      </c>
      <c r="D103" s="74">
        <f t="shared" si="9"/>
        <v>347.58</v>
      </c>
      <c r="E103" s="74">
        <f>IF($E$2=22.5,'S3'!Y103,IF($E$2=23.5,'S3'!Z103,IF($E$2=24.5,'S3'!AA103,IF($E$2=25.5,'S3'!AB103,IF($E$2=26.5,'S3'!AC103,IF($E$2=27.5,'S3'!AD103,IF($E$2=28.5,'S3'!AE103,IF($E$2=29.5,'S3'!AF103,IF($E$2=30.5,'S3'!AG103,IF($E$2=31.5,'S3'!AH103,IF($E$2=32.5,'S3'!AI103,IF($E$2=33.5,'S3'!AJ103))))))))))))</f>
        <v>154.58000000000001</v>
      </c>
      <c r="F103" s="74">
        <f t="shared" si="8"/>
        <v>216.41</v>
      </c>
    </row>
    <row r="104" spans="2:6">
      <c r="B104" s="148">
        <v>100</v>
      </c>
      <c r="C104" s="74">
        <f>IF($C$2=22.5,'S3'!A104,IF($C$2=23.5,'S3'!B104,IF($C$2=24.5,'S3'!C104,IF($C$2=25.5,'S3'!D104,IF($C$2=26.5,'S3'!E104,IF($C$2=27.5,'S3'!F104,IF($C$2=28.5,'S3'!G104,IF($C$2=29.5,'S3'!H104,IF($C$2=30.5,'S3'!I104,IF($C$2=31.5,'S3'!J104,IF($C$2=32.5,'S3'!K104,IF($C$2=33.5,'S3'!L104))))))))))))</f>
        <v>250.66</v>
      </c>
      <c r="D104" s="74">
        <f t="shared" si="9"/>
        <v>350.92</v>
      </c>
      <c r="E104" s="74">
        <f>IF($E$2=22.5,'S3'!Y104,IF($E$2=23.5,'S3'!Z104,IF($E$2=24.5,'S3'!AA104,IF($E$2=25.5,'S3'!AB104,IF($E$2=26.5,'S3'!AC104,IF($E$2=27.5,'S3'!AD104,IF($E$2=28.5,'S3'!AE104,IF($E$2=29.5,'S3'!AF104,IF($E$2=30.5,'S3'!AG104,IF($E$2=31.5,'S3'!AH104,IF($E$2=32.5,'S3'!AI104,IF($E$2=33.5,'S3'!AJ104))))))))))))</f>
        <v>156.16</v>
      </c>
      <c r="F104" s="74">
        <f t="shared" si="8"/>
        <v>218.62</v>
      </c>
    </row>
    <row r="105" spans="2:6">
      <c r="B105" s="148">
        <v>101</v>
      </c>
      <c r="C105" s="74">
        <f>IF($C$2=22.5,'S3'!A105,IF($C$2=23.5,'S3'!B105,IF($C$2=24.5,'S3'!C105,IF($C$2=25.5,'S3'!D105,IF($C$2=26.5,'S3'!E105,IF($C$2=27.5,'S3'!F105,IF($C$2=28.5,'S3'!G105,IF($C$2=29.5,'S3'!H105,IF($C$2=30.5,'S3'!I105,IF($C$2=31.5,'S3'!J105,IF($C$2=32.5,'S3'!K105,IF($C$2=33.5,'S3'!L105))))))))))))</f>
        <v>253.23</v>
      </c>
      <c r="D105" s="74">
        <f t="shared" si="9"/>
        <v>354.52</v>
      </c>
      <c r="E105" s="74">
        <f>IF($E$2=22.5,'S3'!Y105,IF($E$2=23.5,'S3'!Z105,IF($E$2=24.5,'S3'!AA105,IF($E$2=25.5,'S3'!AB105,IF($E$2=26.5,'S3'!AC105,IF($E$2=27.5,'S3'!AD105,IF($E$2=28.5,'S3'!AE105,IF($E$2=29.5,'S3'!AF105,IF($E$2=30.5,'S3'!AG105,IF($E$2=31.5,'S3'!AH105,IF($E$2=32.5,'S3'!AI105,IF($E$2=33.5,'S3'!AJ105))))))))))))</f>
        <v>157.69</v>
      </c>
      <c r="F105" s="74">
        <f t="shared" si="8"/>
        <v>220.77</v>
      </c>
    </row>
    <row r="106" spans="2:6">
      <c r="B106" s="148">
        <v>102</v>
      </c>
      <c r="C106" s="74">
        <f>IF($C$2=22.5,'S3'!A106,IF($C$2=23.5,'S3'!B106,IF($C$2=24.5,'S3'!C106,IF($C$2=25.5,'S3'!D106,IF($C$2=26.5,'S3'!E106,IF($C$2=27.5,'S3'!F106,IF($C$2=28.5,'S3'!G106,IF($C$2=29.5,'S3'!H106,IF($C$2=30.5,'S3'!I106,IF($C$2=31.5,'S3'!J106,IF($C$2=32.5,'S3'!K106,IF($C$2=33.5,'S3'!L106))))))))))))</f>
        <v>255.63</v>
      </c>
      <c r="D106" s="74">
        <f t="shared" si="9"/>
        <v>357.88</v>
      </c>
      <c r="E106" s="74">
        <f>IF($E$2=22.5,'S3'!Y106,IF($E$2=23.5,'S3'!Z106,IF($E$2=24.5,'S3'!AA106,IF($E$2=25.5,'S3'!AB106,IF($E$2=26.5,'S3'!AC106,IF($E$2=27.5,'S3'!AD106,IF($E$2=28.5,'S3'!AE106,IF($E$2=29.5,'S3'!AF106,IF($E$2=30.5,'S3'!AG106,IF($E$2=31.5,'S3'!AH106,IF($E$2=32.5,'S3'!AI106,IF($E$2=33.5,'S3'!AJ106))))))))))))</f>
        <v>159.28</v>
      </c>
      <c r="F106" s="74">
        <f t="shared" si="8"/>
        <v>222.99</v>
      </c>
    </row>
    <row r="107" spans="2:6">
      <c r="B107" s="148">
        <v>103</v>
      </c>
      <c r="C107" s="74">
        <f>IF($C$2=22.5,'S3'!A107,IF($C$2=23.5,'S3'!B107,IF($C$2=24.5,'S3'!C107,IF($C$2=25.5,'S3'!D107,IF($C$2=26.5,'S3'!E107,IF($C$2=27.5,'S3'!F107,IF($C$2=28.5,'S3'!G107,IF($C$2=29.5,'S3'!H107,IF($C$2=30.5,'S3'!I107,IF($C$2=31.5,'S3'!J107,IF($C$2=32.5,'S3'!K107,IF($C$2=33.5,'S3'!L107))))))))))))</f>
        <v>258.22000000000003</v>
      </c>
      <c r="D107" s="74">
        <f t="shared" si="9"/>
        <v>361.51</v>
      </c>
      <c r="E107" s="74">
        <f>IF($E$2=22.5,'S3'!Y107,IF($E$2=23.5,'S3'!Z107,IF($E$2=24.5,'S3'!AA107,IF($E$2=25.5,'S3'!AB107,IF($E$2=26.5,'S3'!AC107,IF($E$2=27.5,'S3'!AD107,IF($E$2=28.5,'S3'!AE107,IF($E$2=29.5,'S3'!AF107,IF($E$2=30.5,'S3'!AG107,IF($E$2=31.5,'S3'!AH107,IF($E$2=32.5,'S3'!AI107,IF($E$2=33.5,'S3'!AJ107))))))))))))</f>
        <v>160.81</v>
      </c>
      <c r="F107" s="74">
        <f t="shared" si="8"/>
        <v>225.13</v>
      </c>
    </row>
    <row r="108" spans="2:6">
      <c r="B108" s="148">
        <v>104</v>
      </c>
      <c r="C108" s="74">
        <f>IF($C$2=22.5,'S3'!A108,IF($C$2=23.5,'S3'!B108,IF($C$2=24.5,'S3'!C108,IF($C$2=25.5,'S3'!D108,IF($C$2=26.5,'S3'!E108,IF($C$2=27.5,'S3'!F108,IF($C$2=28.5,'S3'!G108,IF($C$2=29.5,'S3'!H108,IF($C$2=30.5,'S3'!I108,IF($C$2=31.5,'S3'!J108,IF($C$2=32.5,'S3'!K108,IF($C$2=33.5,'S3'!L108))))))))))))</f>
        <v>260.64</v>
      </c>
      <c r="D108" s="74">
        <f t="shared" si="9"/>
        <v>364.9</v>
      </c>
      <c r="E108" s="74">
        <f>IF($E$2=22.5,'S3'!Y108,IF($E$2=23.5,'S3'!Z108,IF($E$2=24.5,'S3'!AA108,IF($E$2=25.5,'S3'!AB108,IF($E$2=26.5,'S3'!AC108,IF($E$2=27.5,'S3'!AD108,IF($E$2=28.5,'S3'!AE108,IF($E$2=29.5,'S3'!AF108,IF($E$2=30.5,'S3'!AG108,IF($E$2=31.5,'S3'!AH108,IF($E$2=32.5,'S3'!AI108,IF($E$2=33.5,'S3'!AJ108))))))))))))</f>
        <v>162.35</v>
      </c>
      <c r="F108" s="74">
        <f t="shared" si="8"/>
        <v>227.29</v>
      </c>
    </row>
    <row r="109" spans="2:6">
      <c r="B109" s="148">
        <v>105</v>
      </c>
      <c r="C109" s="74">
        <f>IF($C$2=22.5,'S3'!A109,IF($C$2=23.5,'S3'!B109,IF($C$2=24.5,'S3'!C109,IF($C$2=25.5,'S3'!D109,IF($C$2=26.5,'S3'!E109,IF($C$2=27.5,'S3'!F109,IF($C$2=28.5,'S3'!G109,IF($C$2=29.5,'S3'!H109,IF($C$2=30.5,'S3'!I109,IF($C$2=31.5,'S3'!J109,IF($C$2=32.5,'S3'!K109,IF($C$2=33.5,'S3'!L109))))))))))))</f>
        <v>263.25</v>
      </c>
      <c r="D109" s="74">
        <f t="shared" si="9"/>
        <v>368.55</v>
      </c>
      <c r="E109" s="74">
        <f>IF($E$2=22.5,'S3'!Y109,IF($E$2=23.5,'S3'!Z109,IF($E$2=24.5,'S3'!AA109,IF($E$2=25.5,'S3'!AB109,IF($E$2=26.5,'S3'!AC109,IF($E$2=27.5,'S3'!AD109,IF($E$2=28.5,'S3'!AE109,IF($E$2=29.5,'S3'!AF109,IF($E$2=30.5,'S3'!AG109,IF($E$2=31.5,'S3'!AH109,IF($E$2=32.5,'S3'!AI109,IF($E$2=33.5,'S3'!AJ109))))))))))))</f>
        <v>163.95</v>
      </c>
      <c r="F109" s="74">
        <f t="shared" si="8"/>
        <v>229.53</v>
      </c>
    </row>
    <row r="110" spans="2:6">
      <c r="B110" s="148">
        <v>106</v>
      </c>
      <c r="C110" s="74">
        <f>IF($C$2=22.5,'S3'!A110,IF($C$2=23.5,'S3'!B110,IF($C$2=24.5,'S3'!C110,IF($C$2=25.5,'S3'!D110,IF($C$2=26.5,'S3'!E110,IF($C$2=27.5,'S3'!F110,IF($C$2=28.5,'S3'!G110,IF($C$2=29.5,'S3'!H110,IF($C$2=30.5,'S3'!I110,IF($C$2=31.5,'S3'!J110,IF($C$2=32.5,'S3'!K110,IF($C$2=33.5,'S3'!L110))))))))))))</f>
        <v>265.68</v>
      </c>
      <c r="D110" s="74">
        <f t="shared" si="9"/>
        <v>371.95</v>
      </c>
      <c r="E110" s="74">
        <f>IF($E$2=22.5,'S3'!Y110,IF($E$2=23.5,'S3'!Z110,IF($E$2=24.5,'S3'!AA110,IF($E$2=25.5,'S3'!AB110,IF($E$2=26.5,'S3'!AC110,IF($E$2=27.5,'S3'!AD110,IF($E$2=28.5,'S3'!AE110,IF($E$2=29.5,'S3'!AF110,IF($E$2=30.5,'S3'!AG110,IF($E$2=31.5,'S3'!AH110,IF($E$2=32.5,'S3'!AI110,IF($E$2=33.5,'S3'!AJ110))))))))))))</f>
        <v>165.49</v>
      </c>
      <c r="F110" s="74">
        <f t="shared" si="8"/>
        <v>231.69</v>
      </c>
    </row>
    <row r="111" spans="2:6">
      <c r="B111" s="148">
        <v>107</v>
      </c>
      <c r="C111" s="74">
        <f>IF($C$2=22.5,'S3'!A111,IF($C$2=23.5,'S3'!B111,IF($C$2=24.5,'S3'!C111,IF($C$2=25.5,'S3'!D111,IF($C$2=26.5,'S3'!E111,IF($C$2=27.5,'S3'!F111,IF($C$2=28.5,'S3'!G111,IF($C$2=29.5,'S3'!H111,IF($C$2=30.5,'S3'!I111,IF($C$2=31.5,'S3'!J111,IF($C$2=32.5,'S3'!K111,IF($C$2=33.5,'S3'!L111))))))))))))</f>
        <v>268.12</v>
      </c>
      <c r="D111" s="74">
        <f t="shared" si="9"/>
        <v>375.37</v>
      </c>
      <c r="E111" s="74">
        <f>IF($E$2=22.5,'S3'!Y111,IF($E$2=23.5,'S3'!Z111,IF($E$2=24.5,'S3'!AA111,IF($E$2=25.5,'S3'!AB111,IF($E$2=26.5,'S3'!AC111,IF($E$2=27.5,'S3'!AD111,IF($E$2=28.5,'S3'!AE111,IF($E$2=29.5,'S3'!AF111,IF($E$2=30.5,'S3'!AG111,IF($E$2=31.5,'S3'!AH111,IF($E$2=32.5,'S3'!AI111,IF($E$2=33.5,'S3'!AJ111))))))))))))</f>
        <v>167.04</v>
      </c>
      <c r="F111" s="74">
        <f t="shared" si="8"/>
        <v>233.86</v>
      </c>
    </row>
    <row r="112" spans="2:6">
      <c r="B112" s="148">
        <v>108</v>
      </c>
      <c r="C112" s="74">
        <f>IF($C$2=22.5,'S3'!A112,IF($C$2=23.5,'S3'!B112,IF($C$2=24.5,'S3'!C112,IF($C$2=25.5,'S3'!D112,IF($C$2=26.5,'S3'!E112,IF($C$2=27.5,'S3'!F112,IF($C$2=28.5,'S3'!G112,IF($C$2=29.5,'S3'!H112,IF($C$2=30.5,'S3'!I112,IF($C$2=31.5,'S3'!J112,IF($C$2=32.5,'S3'!K112,IF($C$2=33.5,'S3'!L112))))))))))))</f>
        <v>270.56</v>
      </c>
      <c r="D112" s="74">
        <f t="shared" si="9"/>
        <v>378.78</v>
      </c>
      <c r="E112" s="74">
        <f>IF($E$2=22.5,'S3'!Y112,IF($E$2=23.5,'S3'!Z112,IF($E$2=24.5,'S3'!AA112,IF($E$2=25.5,'S3'!AB112,IF($E$2=26.5,'S3'!AC112,IF($E$2=27.5,'S3'!AD112,IF($E$2=28.5,'S3'!AE112,IF($E$2=29.5,'S3'!AF112,IF($E$2=30.5,'S3'!AG112,IF($E$2=31.5,'S3'!AH112,IF($E$2=32.5,'S3'!AI112,IF($E$2=33.5,'S3'!AJ112))))))))))))</f>
        <v>168.58</v>
      </c>
      <c r="F112" s="74">
        <f t="shared" si="8"/>
        <v>236.01</v>
      </c>
    </row>
    <row r="113" spans="2:6">
      <c r="B113" s="148">
        <v>109</v>
      </c>
      <c r="C113" s="74">
        <f>IF($C$2=22.5,'S3'!A113,IF($C$2=23.5,'S3'!B113,IF($C$2=24.5,'S3'!C113,IF($C$2=25.5,'S3'!D113,IF($C$2=26.5,'S3'!E113,IF($C$2=27.5,'S3'!F113,IF($C$2=28.5,'S3'!G113,IF($C$2=29.5,'S3'!H113,IF($C$2=30.5,'S3'!I113,IF($C$2=31.5,'S3'!J113,IF($C$2=32.5,'S3'!K113,IF($C$2=33.5,'S3'!L113))))))))))))</f>
        <v>273.20999999999998</v>
      </c>
      <c r="D113" s="74">
        <f t="shared" si="9"/>
        <v>382.49</v>
      </c>
      <c r="E113" s="74">
        <f>IF($E$2=22.5,'S3'!Y113,IF($E$2=23.5,'S3'!Z113,IF($E$2=24.5,'S3'!AA113,IF($E$2=25.5,'S3'!AB113,IF($E$2=26.5,'S3'!AC113,IF($E$2=27.5,'S3'!AD113,IF($E$2=28.5,'S3'!AE113,IF($E$2=29.5,'S3'!AF113,IF($E$2=30.5,'S3'!AG113,IF($E$2=31.5,'S3'!AH113,IF($E$2=32.5,'S3'!AI113,IF($E$2=33.5,'S3'!AJ113))))))))))))</f>
        <v>170.13</v>
      </c>
      <c r="F113" s="74">
        <f t="shared" si="8"/>
        <v>238.18</v>
      </c>
    </row>
    <row r="114" spans="2:6">
      <c r="B114" s="148">
        <v>110</v>
      </c>
      <c r="C114" s="74">
        <f>IF($C$2=22.5,'S3'!A114,IF($C$2=23.5,'S3'!B114,IF($C$2=24.5,'S3'!C114,IF($C$2=25.5,'S3'!D114,IF($C$2=26.5,'S3'!E114,IF($C$2=27.5,'S3'!F114,IF($C$2=28.5,'S3'!G114,IF($C$2=29.5,'S3'!H114,IF($C$2=30.5,'S3'!I114,IF($C$2=31.5,'S3'!J114,IF($C$2=32.5,'S3'!K114,IF($C$2=33.5,'S3'!L114))))))))))))</f>
        <v>275.67</v>
      </c>
      <c r="D114" s="74">
        <f t="shared" si="9"/>
        <v>385.94</v>
      </c>
      <c r="E114" s="74">
        <f>IF($E$2=22.5,'S3'!Y114,IF($E$2=23.5,'S3'!Z114,IF($E$2=24.5,'S3'!AA114,IF($E$2=25.5,'S3'!AB114,IF($E$2=26.5,'S3'!AC114,IF($E$2=27.5,'S3'!AD114,IF($E$2=28.5,'S3'!AE114,IF($E$2=29.5,'S3'!AF114,IF($E$2=30.5,'S3'!AG114,IF($E$2=31.5,'S3'!AH114,IF($E$2=32.5,'S3'!AI114,IF($E$2=33.5,'S3'!AJ114))))))))))))</f>
        <v>171.68</v>
      </c>
      <c r="F114" s="74">
        <f t="shared" si="8"/>
        <v>240.35</v>
      </c>
    </row>
    <row r="115" spans="2:6">
      <c r="B115" s="148">
        <v>111</v>
      </c>
      <c r="C115" s="74">
        <f>IF($C$2=22.5,'S3'!A115,IF($C$2=23.5,'S3'!B115,IF($C$2=24.5,'S3'!C115,IF($C$2=25.5,'S3'!D115,IF($C$2=26.5,'S3'!E115,IF($C$2=27.5,'S3'!F115,IF($C$2=28.5,'S3'!G115,IF($C$2=29.5,'S3'!H115,IF($C$2=30.5,'S3'!I115,IF($C$2=31.5,'S3'!J115,IF($C$2=32.5,'S3'!K115,IF($C$2=33.5,'S3'!L115))))))))))))</f>
        <v>278.14</v>
      </c>
      <c r="D115" s="74">
        <f t="shared" si="9"/>
        <v>389.4</v>
      </c>
      <c r="E115" s="74">
        <f>IF($E$2=22.5,'S3'!Y115,IF($E$2=23.5,'S3'!Z115,IF($E$2=24.5,'S3'!AA115,IF($E$2=25.5,'S3'!AB115,IF($E$2=26.5,'S3'!AC115,IF($E$2=27.5,'S3'!AD115,IF($E$2=28.5,'S3'!AE115,IF($E$2=29.5,'S3'!AF115,IF($E$2=30.5,'S3'!AG115,IF($E$2=31.5,'S3'!AH115,IF($E$2=32.5,'S3'!AI115,IF($E$2=33.5,'S3'!AJ115))))))))))))</f>
        <v>173.24</v>
      </c>
      <c r="F115" s="74">
        <f t="shared" si="8"/>
        <v>242.54</v>
      </c>
    </row>
    <row r="116" spans="2:6">
      <c r="B116" s="148">
        <v>112</v>
      </c>
      <c r="C116" s="74">
        <f>IF($C$2=22.5,'S3'!A116,IF($C$2=23.5,'S3'!B116,IF($C$2=24.5,'S3'!C116,IF($C$2=25.5,'S3'!D116,IF($C$2=26.5,'S3'!E116,IF($C$2=27.5,'S3'!F116,IF($C$2=28.5,'S3'!G116,IF($C$2=29.5,'S3'!H116,IF($C$2=30.5,'S3'!I116,IF($C$2=31.5,'S3'!J116,IF($C$2=32.5,'S3'!K116,IF($C$2=33.5,'S3'!L116))))))))))))</f>
        <v>280.61</v>
      </c>
      <c r="D116" s="74">
        <f t="shared" si="9"/>
        <v>392.85</v>
      </c>
      <c r="E116" s="74">
        <f>IF($E$2=22.5,'S3'!Y116,IF($E$2=23.5,'S3'!Z116,IF($E$2=24.5,'S3'!AA116,IF($E$2=25.5,'S3'!AB116,IF($E$2=26.5,'S3'!AC116,IF($E$2=27.5,'S3'!AD116,IF($E$2=28.5,'S3'!AE116,IF($E$2=29.5,'S3'!AF116,IF($E$2=30.5,'S3'!AG116,IF($E$2=31.5,'S3'!AH116,IF($E$2=32.5,'S3'!AI116,IF($E$2=33.5,'S3'!AJ116))))))))))))</f>
        <v>174.79</v>
      </c>
      <c r="F116" s="74">
        <f t="shared" si="8"/>
        <v>244.71</v>
      </c>
    </row>
    <row r="117" spans="2:6">
      <c r="B117" s="148">
        <v>113</v>
      </c>
      <c r="C117" s="74">
        <f>IF($C$2=22.5,'S3'!A117,IF($C$2=23.5,'S3'!B117,IF($C$2=24.5,'S3'!C117,IF($C$2=25.5,'S3'!D117,IF($C$2=26.5,'S3'!E117,IF($C$2=27.5,'S3'!F117,IF($C$2=28.5,'S3'!G117,IF($C$2=29.5,'S3'!H117,IF($C$2=30.5,'S3'!I117,IF($C$2=31.5,'S3'!J117,IF($C$2=32.5,'S3'!K117,IF($C$2=33.5,'S3'!L117))))))))))))</f>
        <v>283.08999999999997</v>
      </c>
      <c r="D117" s="74">
        <f t="shared" si="9"/>
        <v>396.33</v>
      </c>
      <c r="E117" s="74">
        <f>IF($E$2=22.5,'S3'!Y117,IF($E$2=23.5,'S3'!Z117,IF($E$2=24.5,'S3'!AA117,IF($E$2=25.5,'S3'!AB117,IF($E$2=26.5,'S3'!AC117,IF($E$2=27.5,'S3'!AD117,IF($E$2=28.5,'S3'!AE117,IF($E$2=29.5,'S3'!AF117,IF($E$2=30.5,'S3'!AG117,IF($E$2=31.5,'S3'!AH117,IF($E$2=32.5,'S3'!AI117,IF($E$2=33.5,'S3'!AJ117))))))))))))</f>
        <v>176.35</v>
      </c>
      <c r="F117" s="74">
        <f t="shared" si="8"/>
        <v>246.89</v>
      </c>
    </row>
    <row r="118" spans="2:6">
      <c r="B118" s="148">
        <v>114</v>
      </c>
      <c r="C118" s="74">
        <f>IF($C$2=22.5,'S3'!A118,IF($C$2=23.5,'S3'!B118,IF($C$2=24.5,'S3'!C118,IF($C$2=25.5,'S3'!D118,IF($C$2=26.5,'S3'!E118,IF($C$2=27.5,'S3'!F118,IF($C$2=28.5,'S3'!G118,IF($C$2=29.5,'S3'!H118,IF($C$2=30.5,'S3'!I118,IF($C$2=31.5,'S3'!J118,IF($C$2=32.5,'S3'!K118,IF($C$2=33.5,'S3'!L118))))))))))))</f>
        <v>285.58</v>
      </c>
      <c r="D118" s="74">
        <f t="shared" si="9"/>
        <v>399.81</v>
      </c>
      <c r="E118" s="74">
        <f>IF($E$2=22.5,'S3'!Y118,IF($E$2=23.5,'S3'!Z118,IF($E$2=24.5,'S3'!AA118,IF($E$2=25.5,'S3'!AB118,IF($E$2=26.5,'S3'!AC118,IF($E$2=27.5,'S3'!AD118,IF($E$2=28.5,'S3'!AE118,IF($E$2=29.5,'S3'!AF118,IF($E$2=30.5,'S3'!AG118,IF($E$2=31.5,'S3'!AH118,IF($E$2=32.5,'S3'!AI118,IF($E$2=33.5,'S3'!AJ118))))))))))))</f>
        <v>177.91</v>
      </c>
      <c r="F118" s="74">
        <f t="shared" si="8"/>
        <v>249.07</v>
      </c>
    </row>
    <row r="119" spans="2:6">
      <c r="B119" s="148">
        <v>115</v>
      </c>
      <c r="C119" s="74">
        <f>IF($C$2=22.5,'S3'!A119,IF($C$2=23.5,'S3'!B119,IF($C$2=24.5,'S3'!C119,IF($C$2=25.5,'S3'!D119,IF($C$2=26.5,'S3'!E119,IF($C$2=27.5,'S3'!F119,IF($C$2=28.5,'S3'!G119,IF($C$2=29.5,'S3'!H119,IF($C$2=30.5,'S3'!I119,IF($C$2=31.5,'S3'!J119,IF($C$2=32.5,'S3'!K119,IF($C$2=33.5,'S3'!L119))))))))))))</f>
        <v>288.08</v>
      </c>
      <c r="D119" s="74">
        <f t="shared" si="9"/>
        <v>403.31</v>
      </c>
      <c r="E119" s="74">
        <f>IF($E$2=22.5,'S3'!Y119,IF($E$2=23.5,'S3'!Z119,IF($E$2=24.5,'S3'!AA119,IF($E$2=25.5,'S3'!AB119,IF($E$2=26.5,'S3'!AC119,IF($E$2=27.5,'S3'!AD119,IF($E$2=28.5,'S3'!AE119,IF($E$2=29.5,'S3'!AF119,IF($E$2=30.5,'S3'!AG119,IF($E$2=31.5,'S3'!AH119,IF($E$2=32.5,'S3'!AI119,IF($E$2=33.5,'S3'!AJ119))))))))))))</f>
        <v>179.47</v>
      </c>
      <c r="F119" s="74">
        <f t="shared" si="8"/>
        <v>251.26</v>
      </c>
    </row>
    <row r="120" spans="2:6">
      <c r="B120" s="148">
        <v>116</v>
      </c>
      <c r="C120" s="74">
        <f>IF($C$2=22.5,'S3'!A120,IF($C$2=23.5,'S3'!B120,IF($C$2=24.5,'S3'!C120,IF($C$2=25.5,'S3'!D120,IF($C$2=26.5,'S3'!E120,IF($C$2=27.5,'S3'!F120,IF($C$2=28.5,'S3'!G120,IF($C$2=29.5,'S3'!H120,IF($C$2=30.5,'S3'!I120,IF($C$2=31.5,'S3'!J120,IF($C$2=32.5,'S3'!K120,IF($C$2=33.5,'S3'!L120))))))))))))</f>
        <v>290.58</v>
      </c>
      <c r="D120" s="74">
        <f t="shared" si="9"/>
        <v>406.81</v>
      </c>
      <c r="E120" s="74">
        <f>IF($E$2=22.5,'S3'!Y120,IF($E$2=23.5,'S3'!Z120,IF($E$2=24.5,'S3'!AA120,IF($E$2=25.5,'S3'!AB120,IF($E$2=26.5,'S3'!AC120,IF($E$2=27.5,'S3'!AD120,IF($E$2=28.5,'S3'!AE120,IF($E$2=29.5,'S3'!AF120,IF($E$2=30.5,'S3'!AG120,IF($E$2=31.5,'S3'!AH120,IF($E$2=32.5,'S3'!AI120,IF($E$2=33.5,'S3'!AJ120))))))))))))</f>
        <v>181.03</v>
      </c>
      <c r="F120" s="74">
        <f t="shared" si="8"/>
        <v>253.44</v>
      </c>
    </row>
    <row r="121" spans="2:6">
      <c r="B121" s="148">
        <v>117</v>
      </c>
      <c r="C121" s="74">
        <f>IF($C$2=22.5,'S3'!A121,IF($C$2=23.5,'S3'!B121,IF($C$2=24.5,'S3'!C121,IF($C$2=25.5,'S3'!D121,IF($C$2=26.5,'S3'!E121,IF($C$2=27.5,'S3'!F121,IF($C$2=28.5,'S3'!G121,IF($C$2=29.5,'S3'!H121,IF($C$2=30.5,'S3'!I121,IF($C$2=31.5,'S3'!J121,IF($C$2=32.5,'S3'!K121,IF($C$2=33.5,'S3'!L121))))))))))))</f>
        <v>293.08999999999997</v>
      </c>
      <c r="D121" s="74">
        <f t="shared" si="9"/>
        <v>410.33</v>
      </c>
      <c r="E121" s="74">
        <f>IF($E$2=22.5,'S3'!Y121,IF($E$2=23.5,'S3'!Z121,IF($E$2=24.5,'S3'!AA121,IF($E$2=25.5,'S3'!AB121,IF($E$2=26.5,'S3'!AC121,IF($E$2=27.5,'S3'!AD121,IF($E$2=28.5,'S3'!AE121,IF($E$2=29.5,'S3'!AF121,IF($E$2=30.5,'S3'!AG121,IF($E$2=31.5,'S3'!AH121,IF($E$2=32.5,'S3'!AI121,IF($E$2=33.5,'S3'!AJ121))))))))))))</f>
        <v>182.59</v>
      </c>
      <c r="F121" s="74">
        <f t="shared" si="8"/>
        <v>255.63</v>
      </c>
    </row>
    <row r="122" spans="2:6">
      <c r="B122" s="148">
        <v>118</v>
      </c>
      <c r="C122" s="74">
        <f>IF($C$2=22.5,'S3'!A122,IF($C$2=23.5,'S3'!B122,IF($C$2=24.5,'S3'!C122,IF($C$2=25.5,'S3'!D122,IF($C$2=26.5,'S3'!E122,IF($C$2=27.5,'S3'!F122,IF($C$2=28.5,'S3'!G122,IF($C$2=29.5,'S3'!H122,IF($C$2=30.5,'S3'!I122,IF($C$2=31.5,'S3'!J122,IF($C$2=32.5,'S3'!K122,IF($C$2=33.5,'S3'!L122))))))))))))</f>
        <v>295.61</v>
      </c>
      <c r="D122" s="74">
        <f t="shared" si="9"/>
        <v>413.85</v>
      </c>
      <c r="E122" s="74">
        <f>IF($E$2=22.5,'S3'!Y122,IF($E$2=23.5,'S3'!Z122,IF($E$2=24.5,'S3'!AA122,IF($E$2=25.5,'S3'!AB122,IF($E$2=26.5,'S3'!AC122,IF($E$2=27.5,'S3'!AD122,IF($E$2=28.5,'S3'!AE122,IF($E$2=29.5,'S3'!AF122,IF($E$2=30.5,'S3'!AG122,IF($E$2=31.5,'S3'!AH122,IF($E$2=32.5,'S3'!AI122,IF($E$2=33.5,'S3'!AJ122))))))))))))</f>
        <v>184.16</v>
      </c>
      <c r="F122" s="74">
        <f t="shared" si="8"/>
        <v>257.82</v>
      </c>
    </row>
    <row r="123" spans="2:6">
      <c r="B123" s="148">
        <v>119</v>
      </c>
      <c r="C123" s="74">
        <f>IF($C$2=22.5,'S3'!A123,IF($C$2=23.5,'S3'!B123,IF($C$2=24.5,'S3'!C123,IF($C$2=25.5,'S3'!D123,IF($C$2=26.5,'S3'!E123,IF($C$2=27.5,'S3'!F123,IF($C$2=28.5,'S3'!G123,IF($C$2=29.5,'S3'!H123,IF($C$2=30.5,'S3'!I123,IF($C$2=31.5,'S3'!J123,IF($C$2=32.5,'S3'!K123,IF($C$2=33.5,'S3'!L123))))))))))))</f>
        <v>298.13</v>
      </c>
      <c r="D123" s="74">
        <f t="shared" si="9"/>
        <v>417.38</v>
      </c>
      <c r="E123" s="74">
        <f>IF($E$2=22.5,'S3'!Y123,IF($E$2=23.5,'S3'!Z123,IF($E$2=24.5,'S3'!AA123,IF($E$2=25.5,'S3'!AB123,IF($E$2=26.5,'S3'!AC123,IF($E$2=27.5,'S3'!AD123,IF($E$2=28.5,'S3'!AE123,IF($E$2=29.5,'S3'!AF123,IF($E$2=30.5,'S3'!AG123,IF($E$2=31.5,'S3'!AH123,IF($E$2=32.5,'S3'!AI123,IF($E$2=33.5,'S3'!AJ123))))))))))))</f>
        <v>185.72</v>
      </c>
      <c r="F123" s="74">
        <f t="shared" si="8"/>
        <v>260.01</v>
      </c>
    </row>
    <row r="124" spans="2:6">
      <c r="B124" s="148">
        <v>120</v>
      </c>
      <c r="C124" s="74">
        <f>IF($C$2=22.5,'S3'!A124,IF($C$2=23.5,'S3'!B124,IF($C$2=24.5,'S3'!C124,IF($C$2=25.5,'S3'!D124,IF($C$2=26.5,'S3'!E124,IF($C$2=27.5,'S3'!F124,IF($C$2=28.5,'S3'!G124,IF($C$2=29.5,'S3'!H124,IF($C$2=30.5,'S3'!I124,IF($C$2=31.5,'S3'!J124,IF($C$2=32.5,'S3'!K124,IF($C$2=33.5,'S3'!L124))))))))))))</f>
        <v>300.64999999999998</v>
      </c>
      <c r="D124" s="74">
        <f t="shared" si="9"/>
        <v>420.91</v>
      </c>
      <c r="E124" s="74">
        <f>IF($E$2=22.5,'S3'!Y124,IF($E$2=23.5,'S3'!Z124,IF($E$2=24.5,'S3'!AA124,IF($E$2=25.5,'S3'!AB124,IF($E$2=26.5,'S3'!AC124,IF($E$2=27.5,'S3'!AD124,IF($E$2=28.5,'S3'!AE124,IF($E$2=29.5,'S3'!AF124,IF($E$2=30.5,'S3'!AG124,IF($E$2=31.5,'S3'!AH124,IF($E$2=32.5,'S3'!AI124,IF($E$2=33.5,'S3'!AJ124))))))))))))</f>
        <v>187.26</v>
      </c>
      <c r="F124" s="74">
        <f t="shared" si="8"/>
        <v>262.16000000000003</v>
      </c>
    </row>
    <row r="125" spans="2:6">
      <c r="B125" s="148">
        <v>121</v>
      </c>
      <c r="C125" s="74">
        <f>IF($C$2=22.5,'S3'!A125,IF($C$2=23.5,'S3'!B125,IF($C$2=24.5,'S3'!C125,IF($C$2=25.5,'S3'!D125,IF($C$2=26.5,'S3'!E125,IF($C$2=27.5,'S3'!F125,IF($C$2=28.5,'S3'!G125,IF($C$2=29.5,'S3'!H125,IF($C$2=30.5,'S3'!I125,IF($C$2=31.5,'S3'!J125,IF($C$2=32.5,'S3'!K125,IF($C$2=33.5,'S3'!L125))))))))))))</f>
        <v>302.97000000000003</v>
      </c>
      <c r="D125" s="74">
        <f t="shared" si="9"/>
        <v>424.16</v>
      </c>
      <c r="E125" s="74">
        <f>IF($E$2=22.5,'S3'!Y125,IF($E$2=23.5,'S3'!Z125,IF($E$2=24.5,'S3'!AA125,IF($E$2=25.5,'S3'!AB125,IF($E$2=26.5,'S3'!AC125,IF($E$2=27.5,'S3'!AD125,IF($E$2=28.5,'S3'!AE125,IF($E$2=29.5,'S3'!AF125,IF($E$2=30.5,'S3'!AG125,IF($E$2=31.5,'S3'!AH125,IF($E$2=32.5,'S3'!AI125,IF($E$2=33.5,'S3'!AJ125))))))))))))</f>
        <v>188.81</v>
      </c>
      <c r="F125" s="74">
        <f t="shared" si="8"/>
        <v>264.33</v>
      </c>
    </row>
    <row r="126" spans="2:6">
      <c r="B126" s="148">
        <v>122</v>
      </c>
      <c r="C126" s="74">
        <f>IF($C$2=22.5,'S3'!A126,IF($C$2=23.5,'S3'!B126,IF($C$2=24.5,'S3'!C126,IF($C$2=25.5,'S3'!D126,IF($C$2=26.5,'S3'!E126,IF($C$2=27.5,'S3'!F126,IF($C$2=28.5,'S3'!G126,IF($C$2=29.5,'S3'!H126,IF($C$2=30.5,'S3'!I126,IF($C$2=31.5,'S3'!J126,IF($C$2=32.5,'S3'!K126,IF($C$2=33.5,'S3'!L126))))))))))))</f>
        <v>305.52</v>
      </c>
      <c r="D126" s="74">
        <f t="shared" si="9"/>
        <v>427.73</v>
      </c>
      <c r="E126" s="74">
        <f>IF($E$2=22.5,'S3'!Y126,IF($E$2=23.5,'S3'!Z126,IF($E$2=24.5,'S3'!AA126,IF($E$2=25.5,'S3'!AB126,IF($E$2=26.5,'S3'!AC126,IF($E$2=27.5,'S3'!AD126,IF($E$2=28.5,'S3'!AE126,IF($E$2=29.5,'S3'!AF126,IF($E$2=30.5,'S3'!AG126,IF($E$2=31.5,'S3'!AH126,IF($E$2=32.5,'S3'!AI126,IF($E$2=33.5,'S3'!AJ126))))))))))))</f>
        <v>190.38</v>
      </c>
      <c r="F126" s="74">
        <f t="shared" si="8"/>
        <v>266.52999999999997</v>
      </c>
    </row>
    <row r="127" spans="2:6">
      <c r="B127" s="148">
        <v>123</v>
      </c>
      <c r="C127" s="74">
        <f>IF($C$2=22.5,'S3'!A127,IF($C$2=23.5,'S3'!B127,IF($C$2=24.5,'S3'!C127,IF($C$2=25.5,'S3'!D127,IF($C$2=26.5,'S3'!E127,IF($C$2=27.5,'S3'!F127,IF($C$2=28.5,'S3'!G127,IF($C$2=29.5,'S3'!H127,IF($C$2=30.5,'S3'!I127,IF($C$2=31.5,'S3'!J127,IF($C$2=32.5,'S3'!K127,IF($C$2=33.5,'S3'!L127))))))))))))</f>
        <v>308.08</v>
      </c>
      <c r="D127" s="74">
        <f t="shared" si="9"/>
        <v>431.31</v>
      </c>
      <c r="E127" s="74">
        <f>IF($E$2=22.5,'S3'!Y127,IF($E$2=23.5,'S3'!Z127,IF($E$2=24.5,'S3'!AA127,IF($E$2=25.5,'S3'!AB127,IF($E$2=26.5,'S3'!AC127,IF($E$2=27.5,'S3'!AD127,IF($E$2=28.5,'S3'!AE127,IF($E$2=29.5,'S3'!AF127,IF($E$2=30.5,'S3'!AG127,IF($E$2=31.5,'S3'!AH127,IF($E$2=32.5,'S3'!AI127,IF($E$2=33.5,'S3'!AJ127))))))))))))</f>
        <v>191.89</v>
      </c>
      <c r="F127" s="74">
        <f t="shared" si="8"/>
        <v>268.64999999999998</v>
      </c>
    </row>
    <row r="128" spans="2:6">
      <c r="B128" s="148">
        <v>124</v>
      </c>
      <c r="C128" s="74">
        <f>IF($C$2=22.5,'S3'!A128,IF($C$2=23.5,'S3'!B128,IF($C$2=24.5,'S3'!C128,IF($C$2=25.5,'S3'!D128,IF($C$2=26.5,'S3'!E128,IF($C$2=27.5,'S3'!F128,IF($C$2=28.5,'S3'!G128,IF($C$2=29.5,'S3'!H128,IF($C$2=30.5,'S3'!I128,IF($C$2=31.5,'S3'!J128,IF($C$2=32.5,'S3'!K128,IF($C$2=33.5,'S3'!L128))))))))))))</f>
        <v>310.64999999999998</v>
      </c>
      <c r="D128" s="74">
        <f t="shared" si="9"/>
        <v>434.91</v>
      </c>
      <c r="E128" s="74">
        <f>IF($E$2=22.5,'S3'!Y128,IF($E$2=23.5,'S3'!Z128,IF($E$2=24.5,'S3'!AA128,IF($E$2=25.5,'S3'!AB128,IF($E$2=26.5,'S3'!AC128,IF($E$2=27.5,'S3'!AD128,IF($E$2=28.5,'S3'!AE128,IF($E$2=29.5,'S3'!AF128,IF($E$2=30.5,'S3'!AG128,IF($E$2=31.5,'S3'!AH128,IF($E$2=32.5,'S3'!AI128,IF($E$2=33.5,'S3'!AJ128))))))))))))</f>
        <v>193.47</v>
      </c>
      <c r="F128" s="74">
        <f t="shared" si="8"/>
        <v>270.86</v>
      </c>
    </row>
    <row r="129" spans="2:6">
      <c r="B129" s="148">
        <v>125</v>
      </c>
      <c r="C129" s="74">
        <f>IF($C$2=22.5,'S3'!A129,IF($C$2=23.5,'S3'!B129,IF($C$2=24.5,'S3'!C129,IF($C$2=25.5,'S3'!D129,IF($C$2=26.5,'S3'!E129,IF($C$2=27.5,'S3'!F129,IF($C$2=28.5,'S3'!G129,IF($C$2=29.5,'S3'!H129,IF($C$2=30.5,'S3'!I129,IF($C$2=31.5,'S3'!J129,IF($C$2=32.5,'S3'!K129,IF($C$2=33.5,'S3'!L129))))))))))))</f>
        <v>312.95999999999998</v>
      </c>
      <c r="D129" s="74">
        <f t="shared" si="9"/>
        <v>438.14</v>
      </c>
      <c r="E129" s="74">
        <f>IF($E$2=22.5,'S3'!Y129,IF($E$2=23.5,'S3'!Z129,IF($E$2=24.5,'S3'!AA129,IF($E$2=25.5,'S3'!AB129,IF($E$2=26.5,'S3'!AC129,IF($E$2=27.5,'S3'!AD129,IF($E$2=28.5,'S3'!AE129,IF($E$2=29.5,'S3'!AF129,IF($E$2=30.5,'S3'!AG129,IF($E$2=31.5,'S3'!AH129,IF($E$2=32.5,'S3'!AI129,IF($E$2=33.5,'S3'!AJ129))))))))))))</f>
        <v>195.05</v>
      </c>
      <c r="F129" s="74">
        <f t="shared" si="8"/>
        <v>273.07</v>
      </c>
    </row>
    <row r="130" spans="2:6">
      <c r="B130" s="148">
        <v>126</v>
      </c>
      <c r="C130" s="74">
        <f>IF($C$2=22.5,'S3'!A130,IF($C$2=23.5,'S3'!B130,IF($C$2=24.5,'S3'!C130,IF($C$2=25.5,'S3'!D130,IF($C$2=26.5,'S3'!E130,IF($C$2=27.5,'S3'!F130,IF($C$2=28.5,'S3'!G130,IF($C$2=29.5,'S3'!H130,IF($C$2=30.5,'S3'!I130,IF($C$2=31.5,'S3'!J130,IF($C$2=32.5,'S3'!K130,IF($C$2=33.5,'S3'!L130))))))))))))</f>
        <v>315.54000000000002</v>
      </c>
      <c r="D130" s="74">
        <f t="shared" si="9"/>
        <v>441.76</v>
      </c>
      <c r="E130" s="74">
        <f>IF($E$2=22.5,'S3'!Y130,IF($E$2=23.5,'S3'!Z130,IF($E$2=24.5,'S3'!AA130,IF($E$2=25.5,'S3'!AB130,IF($E$2=26.5,'S3'!AC130,IF($E$2=27.5,'S3'!AD130,IF($E$2=28.5,'S3'!AE130,IF($E$2=29.5,'S3'!AF130,IF($E$2=30.5,'S3'!AG130,IF($E$2=31.5,'S3'!AH130,IF($E$2=32.5,'S3'!AI130,IF($E$2=33.5,'S3'!AJ130))))))))))))</f>
        <v>196.57</v>
      </c>
      <c r="F130" s="74">
        <f t="shared" si="8"/>
        <v>275.2</v>
      </c>
    </row>
    <row r="131" spans="2:6">
      <c r="B131" s="148">
        <v>127</v>
      </c>
      <c r="C131" s="74">
        <f>IF($C$2=22.5,'S3'!A131,IF($C$2=23.5,'S3'!B131,IF($C$2=24.5,'S3'!C131,IF($C$2=25.5,'S3'!D131,IF($C$2=26.5,'S3'!E131,IF($C$2=27.5,'S3'!F131,IF($C$2=28.5,'S3'!G131,IF($C$2=29.5,'S3'!H131,IF($C$2=30.5,'S3'!I131,IF($C$2=31.5,'S3'!J131,IF($C$2=32.5,'S3'!K131,IF($C$2=33.5,'S3'!L131))))))))))))</f>
        <v>318.13</v>
      </c>
      <c r="D131" s="74">
        <f t="shared" si="9"/>
        <v>445.38</v>
      </c>
      <c r="E131" s="74">
        <f>IF($E$2=22.5,'S3'!Y131,IF($E$2=23.5,'S3'!Z131,IF($E$2=24.5,'S3'!AA131,IF($E$2=25.5,'S3'!AB131,IF($E$2=26.5,'S3'!AC131,IF($E$2=27.5,'S3'!AD131,IF($E$2=28.5,'S3'!AE131,IF($E$2=29.5,'S3'!AF131,IF($E$2=30.5,'S3'!AG131,IF($E$2=31.5,'S3'!AH131,IF($E$2=32.5,'S3'!AI131,IF($E$2=33.5,'S3'!AJ131))))))))))))</f>
        <v>198.15</v>
      </c>
      <c r="F131" s="74">
        <f t="shared" si="8"/>
        <v>277.41000000000003</v>
      </c>
    </row>
    <row r="132" spans="2:6">
      <c r="B132" s="148">
        <v>128</v>
      </c>
      <c r="C132" s="74">
        <f>IF($C$2=22.5,'S3'!A132,IF($C$2=23.5,'S3'!B132,IF($C$2=24.5,'S3'!C132,IF($C$2=25.5,'S3'!D132,IF($C$2=26.5,'S3'!E132,IF($C$2=27.5,'S3'!F132,IF($C$2=28.5,'S3'!G132,IF($C$2=29.5,'S3'!H132,IF($C$2=30.5,'S3'!I132,IF($C$2=31.5,'S3'!J132,IF($C$2=32.5,'S3'!K132,IF($C$2=33.5,'S3'!L132))))))))))))</f>
        <v>320.45999999999998</v>
      </c>
      <c r="D132" s="74">
        <f t="shared" si="9"/>
        <v>448.64</v>
      </c>
      <c r="E132" s="74">
        <f>IF($E$2=22.5,'S3'!Y132,IF($E$2=23.5,'S3'!Z132,IF($E$2=24.5,'S3'!AA132,IF($E$2=25.5,'S3'!AB132,IF($E$2=26.5,'S3'!AC132,IF($E$2=27.5,'S3'!AD132,IF($E$2=28.5,'S3'!AE132,IF($E$2=29.5,'S3'!AF132,IF($E$2=30.5,'S3'!AG132,IF($E$2=31.5,'S3'!AH132,IF($E$2=32.5,'S3'!AI132,IF($E$2=33.5,'S3'!AJ132))))))))))))</f>
        <v>199.74</v>
      </c>
      <c r="F132" s="74">
        <f t="shared" si="8"/>
        <v>279.64</v>
      </c>
    </row>
    <row r="133" spans="2:6">
      <c r="B133" s="148">
        <v>129</v>
      </c>
      <c r="C133" s="74">
        <f>IF($C$2=22.5,'S3'!A133,IF($C$2=23.5,'S3'!B133,IF($C$2=24.5,'S3'!C133,IF($C$2=25.5,'S3'!D133,IF($C$2=26.5,'S3'!E133,IF($C$2=27.5,'S3'!F133,IF($C$2=28.5,'S3'!G133,IF($C$2=29.5,'S3'!H133,IF($C$2=30.5,'S3'!I133,IF($C$2=31.5,'S3'!J133,IF($C$2=32.5,'S3'!K133,IF($C$2=33.5,'S3'!L133))))))))))))</f>
        <v>323.69</v>
      </c>
      <c r="D133" s="74">
        <f t="shared" si="9"/>
        <v>453.17</v>
      </c>
      <c r="E133" s="74">
        <f>IF($E$2=22.5,'S3'!Y133,IF($E$2=23.5,'S3'!Z133,IF($E$2=24.5,'S3'!AA133,IF($E$2=25.5,'S3'!AB133,IF($E$2=26.5,'S3'!AC133,IF($E$2=27.5,'S3'!AD133,IF($E$2=28.5,'S3'!AE133,IF($E$2=29.5,'S3'!AF133,IF($E$2=30.5,'S3'!AG133,IF($E$2=31.5,'S3'!AH133,IF($E$2=32.5,'S3'!AI133,IF($E$2=33.5,'S3'!AJ133))))))))))))</f>
        <v>201.26</v>
      </c>
      <c r="F133" s="74">
        <f t="shared" si="8"/>
        <v>281.76</v>
      </c>
    </row>
    <row r="134" spans="2:6">
      <c r="B134" s="148">
        <v>130</v>
      </c>
      <c r="C134" s="74">
        <f>IF($C$2=22.5,'S3'!A134,IF($C$2=23.5,'S3'!B134,IF($C$2=24.5,'S3'!C134,IF($C$2=25.5,'S3'!D134,IF($C$2=26.5,'S3'!E134,IF($C$2=27.5,'S3'!F134,IF($C$2=28.5,'S3'!G134,IF($C$2=29.5,'S3'!H134,IF($C$2=30.5,'S3'!I134,IF($C$2=31.5,'S3'!J134,IF($C$2=32.5,'S3'!K134,IF($C$2=33.5,'S3'!L134))))))))))))</f>
        <v>325.69</v>
      </c>
      <c r="D134" s="74">
        <f t="shared" si="9"/>
        <v>455.97</v>
      </c>
      <c r="E134" s="74">
        <f>IF($E$2=22.5,'S3'!Y134,IF($E$2=23.5,'S3'!Z134,IF($E$2=24.5,'S3'!AA134,IF($E$2=25.5,'S3'!AB134,IF($E$2=26.5,'S3'!AC134,IF($E$2=27.5,'S3'!AD134,IF($E$2=28.5,'S3'!AE134,IF($E$2=29.5,'S3'!AF134,IF($E$2=30.5,'S3'!AG134,IF($E$2=31.5,'S3'!AH134,IF($E$2=32.5,'S3'!AI134,IF($E$2=33.5,'S3'!AJ134))))))))))))</f>
        <v>202.85</v>
      </c>
      <c r="F134" s="74">
        <f t="shared" ref="F134:F197" si="10">ROUND(E134*1.4,2)</f>
        <v>283.99</v>
      </c>
    </row>
    <row r="135" spans="2:6">
      <c r="B135" s="148">
        <v>131</v>
      </c>
      <c r="C135" s="74">
        <f>IF($C$2=22.5,'S3'!A135,IF($C$2=23.5,'S3'!B135,IF($C$2=24.5,'S3'!C135,IF($C$2=25.5,'S3'!D135,IF($C$2=26.5,'S3'!E135,IF($C$2=27.5,'S3'!F135,IF($C$2=28.5,'S3'!G135,IF($C$2=29.5,'S3'!H135,IF($C$2=30.5,'S3'!I135,IF($C$2=31.5,'S3'!J135,IF($C$2=32.5,'S3'!K135,IF($C$2=33.5,'S3'!L135))))))))))))</f>
        <v>328.03</v>
      </c>
      <c r="D135" s="74">
        <f t="shared" ref="D135:D198" si="11">ROUND(C135*1.4,2)</f>
        <v>459.24</v>
      </c>
      <c r="E135" s="74">
        <f>IF($E$2=22.5,'S3'!Y135,IF($E$2=23.5,'S3'!Z135,IF($E$2=24.5,'S3'!AA135,IF($E$2=25.5,'S3'!AB135,IF($E$2=26.5,'S3'!AC135,IF($E$2=27.5,'S3'!AD135,IF($E$2=28.5,'S3'!AE135,IF($E$2=29.5,'S3'!AF135,IF($E$2=30.5,'S3'!AG135,IF($E$2=31.5,'S3'!AH135,IF($E$2=32.5,'S3'!AI135,IF($E$2=33.5,'S3'!AJ135))))))))))))</f>
        <v>204.37</v>
      </c>
      <c r="F135" s="74">
        <f t="shared" si="10"/>
        <v>286.12</v>
      </c>
    </row>
    <row r="136" spans="2:6">
      <c r="B136" s="148">
        <v>132</v>
      </c>
      <c r="C136" s="74">
        <f>IF($C$2=22.5,'S3'!A136,IF($C$2=23.5,'S3'!B136,IF($C$2=24.5,'S3'!C136,IF($C$2=25.5,'S3'!D136,IF($C$2=26.5,'S3'!E136,IF($C$2=27.5,'S3'!F136,IF($C$2=28.5,'S3'!G136,IF($C$2=29.5,'S3'!H136,IF($C$2=30.5,'S3'!I136,IF($C$2=31.5,'S3'!J136,IF($C$2=32.5,'S3'!K136,IF($C$2=33.5,'S3'!L136))))))))))))</f>
        <v>330.66</v>
      </c>
      <c r="D136" s="74">
        <f t="shared" si="11"/>
        <v>462.92</v>
      </c>
      <c r="E136" s="74">
        <f>IF($E$2=22.5,'S3'!Y136,IF($E$2=23.5,'S3'!Z136,IF($E$2=24.5,'S3'!AA136,IF($E$2=25.5,'S3'!AB136,IF($E$2=26.5,'S3'!AC136,IF($E$2=27.5,'S3'!AD136,IF($E$2=28.5,'S3'!AE136,IF($E$2=29.5,'S3'!AF136,IF($E$2=30.5,'S3'!AG136,IF($E$2=31.5,'S3'!AH136,IF($E$2=32.5,'S3'!AI136,IF($E$2=33.5,'S3'!AJ136))))))))))))</f>
        <v>205.89</v>
      </c>
      <c r="F136" s="74">
        <f t="shared" si="10"/>
        <v>288.25</v>
      </c>
    </row>
    <row r="137" spans="2:6">
      <c r="B137" s="148">
        <v>133</v>
      </c>
      <c r="C137" s="74">
        <f>IF($C$2=22.5,'S3'!A137,IF($C$2=23.5,'S3'!B137,IF($C$2=24.5,'S3'!C137,IF($C$2=25.5,'S3'!D137,IF($C$2=26.5,'S3'!E137,IF($C$2=27.5,'S3'!F137,IF($C$2=28.5,'S3'!G137,IF($C$2=29.5,'S3'!H137,IF($C$2=30.5,'S3'!I137,IF($C$2=31.5,'S3'!J137,IF($C$2=32.5,'S3'!K137,IF($C$2=33.5,'S3'!L137))))))))))))</f>
        <v>333.01</v>
      </c>
      <c r="D137" s="74">
        <f t="shared" si="11"/>
        <v>466.21</v>
      </c>
      <c r="E137" s="74">
        <f>IF($E$2=22.5,'S3'!Y137,IF($E$2=23.5,'S3'!Z137,IF($E$2=24.5,'S3'!AA137,IF($E$2=25.5,'S3'!AB137,IF($E$2=26.5,'S3'!AC137,IF($E$2=27.5,'S3'!AD137,IF($E$2=28.5,'S3'!AE137,IF($E$2=29.5,'S3'!AF137,IF($E$2=30.5,'S3'!AG137,IF($E$2=31.5,'S3'!AH137,IF($E$2=32.5,'S3'!AI137,IF($E$2=33.5,'S3'!AJ137))))))))))))</f>
        <v>207.49</v>
      </c>
      <c r="F137" s="74">
        <f t="shared" si="10"/>
        <v>290.49</v>
      </c>
    </row>
    <row r="138" spans="2:6">
      <c r="B138" s="148">
        <v>134</v>
      </c>
      <c r="C138" s="74">
        <f>IF($C$2=22.5,'S3'!A138,IF($C$2=23.5,'S3'!B138,IF($C$2=24.5,'S3'!C138,IF($C$2=25.5,'S3'!D138,IF($C$2=26.5,'S3'!E138,IF($C$2=27.5,'S3'!F138,IF($C$2=28.5,'S3'!G138,IF($C$2=29.5,'S3'!H138,IF($C$2=30.5,'S3'!I138,IF($C$2=31.5,'S3'!J138,IF($C$2=32.5,'S3'!K138,IF($C$2=33.5,'S3'!L138))))))))))))</f>
        <v>335.66</v>
      </c>
      <c r="D138" s="74">
        <f t="shared" si="11"/>
        <v>469.92</v>
      </c>
      <c r="E138" s="74">
        <f>IF($E$2=22.5,'S3'!Y138,IF($E$2=23.5,'S3'!Z138,IF($E$2=24.5,'S3'!AA138,IF($E$2=25.5,'S3'!AB138,IF($E$2=26.5,'S3'!AC138,IF($E$2=27.5,'S3'!AD138,IF($E$2=28.5,'S3'!AE138,IF($E$2=29.5,'S3'!AF138,IF($E$2=30.5,'S3'!AG138,IF($E$2=31.5,'S3'!AH138,IF($E$2=32.5,'S3'!AI138,IF($E$2=33.5,'S3'!AJ138))))))))))))</f>
        <v>209.01</v>
      </c>
      <c r="F138" s="74">
        <f t="shared" si="10"/>
        <v>292.61</v>
      </c>
    </row>
    <row r="139" spans="2:6">
      <c r="B139" s="148">
        <v>135</v>
      </c>
      <c r="C139" s="74">
        <f>IF($C$2=22.5,'S3'!A139,IF($C$2=23.5,'S3'!B139,IF($C$2=24.5,'S3'!C139,IF($C$2=25.5,'S3'!D139,IF($C$2=26.5,'S3'!E139,IF($C$2=27.5,'S3'!F139,IF($C$2=28.5,'S3'!G139,IF($C$2=29.5,'S3'!H139,IF($C$2=30.5,'S3'!I139,IF($C$2=31.5,'S3'!J139,IF($C$2=32.5,'S3'!K139,IF($C$2=33.5,'S3'!L139))))))))))))</f>
        <v>338.02</v>
      </c>
      <c r="D139" s="74">
        <f t="shared" si="11"/>
        <v>473.23</v>
      </c>
      <c r="E139" s="74">
        <f>IF($E$2=22.5,'S3'!Y139,IF($E$2=23.5,'S3'!Z139,IF($E$2=24.5,'S3'!AA139,IF($E$2=25.5,'S3'!AB139,IF($E$2=26.5,'S3'!AC139,IF($E$2=27.5,'S3'!AD139,IF($E$2=28.5,'S3'!AE139,IF($E$2=29.5,'S3'!AF139,IF($E$2=30.5,'S3'!AG139,IF($E$2=31.5,'S3'!AH139,IF($E$2=32.5,'S3'!AI139,IF($E$2=33.5,'S3'!AJ139))))))))))))</f>
        <v>210.61</v>
      </c>
      <c r="F139" s="74">
        <f t="shared" si="10"/>
        <v>294.85000000000002</v>
      </c>
    </row>
    <row r="140" spans="2:6">
      <c r="B140" s="148">
        <v>136</v>
      </c>
      <c r="C140" s="74">
        <f>IF($C$2=22.5,'S3'!A140,IF($C$2=23.5,'S3'!B140,IF($C$2=24.5,'S3'!C140,IF($C$2=25.5,'S3'!D140,IF($C$2=26.5,'S3'!E140,IF($C$2=27.5,'S3'!F140,IF($C$2=28.5,'S3'!G140,IF($C$2=29.5,'S3'!H140,IF($C$2=30.5,'S3'!I140,IF($C$2=31.5,'S3'!J140,IF($C$2=32.5,'S3'!K140,IF($C$2=33.5,'S3'!L140))))))))))))</f>
        <v>340.38</v>
      </c>
      <c r="D140" s="74">
        <f t="shared" si="11"/>
        <v>476.53</v>
      </c>
      <c r="E140" s="74">
        <f>IF($E$2=22.5,'S3'!Y140,IF($E$2=23.5,'S3'!Z140,IF($E$2=24.5,'S3'!AA140,IF($E$2=25.5,'S3'!AB140,IF($E$2=26.5,'S3'!AC140,IF($E$2=27.5,'S3'!AD140,IF($E$2=28.5,'S3'!AE140,IF($E$2=29.5,'S3'!AF140,IF($E$2=30.5,'S3'!AG140,IF($E$2=31.5,'S3'!AH140,IF($E$2=32.5,'S3'!AI140,IF($E$2=33.5,'S3'!AJ140))))))))))))</f>
        <v>212.14</v>
      </c>
      <c r="F140" s="74">
        <f t="shared" si="10"/>
        <v>297</v>
      </c>
    </row>
    <row r="141" spans="2:6">
      <c r="B141" s="148">
        <v>137</v>
      </c>
      <c r="C141" s="74">
        <f>IF($C$2=22.5,'S3'!A141,IF($C$2=23.5,'S3'!B141,IF($C$2=24.5,'S3'!C141,IF($C$2=25.5,'S3'!D141,IF($C$2=26.5,'S3'!E141,IF($C$2=27.5,'S3'!F141,IF($C$2=28.5,'S3'!G141,IF($C$2=29.5,'S3'!H141,IF($C$2=30.5,'S3'!I141,IF($C$2=31.5,'S3'!J141,IF($C$2=32.5,'S3'!K141,IF($C$2=33.5,'S3'!L141))))))))))))</f>
        <v>343.06</v>
      </c>
      <c r="D141" s="74">
        <f t="shared" si="11"/>
        <v>480.28</v>
      </c>
      <c r="E141" s="74">
        <f>IF($E$2=22.5,'S3'!Y141,IF($E$2=23.5,'S3'!Z141,IF($E$2=24.5,'S3'!AA141,IF($E$2=25.5,'S3'!AB141,IF($E$2=26.5,'S3'!AC141,IF($E$2=27.5,'S3'!AD141,IF($E$2=28.5,'S3'!AE141,IF($E$2=29.5,'S3'!AF141,IF($E$2=30.5,'S3'!AG141,IF($E$2=31.5,'S3'!AH141,IF($E$2=32.5,'S3'!AI141,IF($E$2=33.5,'S3'!AJ141))))))))))))</f>
        <v>213.75</v>
      </c>
      <c r="F141" s="74">
        <f t="shared" si="10"/>
        <v>299.25</v>
      </c>
    </row>
    <row r="142" spans="2:6">
      <c r="B142" s="148">
        <v>138</v>
      </c>
      <c r="C142" s="74">
        <f>IF($C$2=22.5,'S3'!A142,IF($C$2=23.5,'S3'!B142,IF($C$2=24.5,'S3'!C142,IF($C$2=25.5,'S3'!D142,IF($C$2=26.5,'S3'!E142,IF($C$2=27.5,'S3'!F142,IF($C$2=28.5,'S3'!G142,IF($C$2=29.5,'S3'!H142,IF($C$2=30.5,'S3'!I142,IF($C$2=31.5,'S3'!J142,IF($C$2=32.5,'S3'!K142,IF($C$2=33.5,'S3'!L142))))))))))))</f>
        <v>345.43</v>
      </c>
      <c r="D142" s="74">
        <f t="shared" si="11"/>
        <v>483.6</v>
      </c>
      <c r="E142" s="74">
        <f>IF($E$2=22.5,'S3'!Y142,IF($E$2=23.5,'S3'!Z142,IF($E$2=24.5,'S3'!AA142,IF($E$2=25.5,'S3'!AB142,IF($E$2=26.5,'S3'!AC142,IF($E$2=27.5,'S3'!AD142,IF($E$2=28.5,'S3'!AE142,IF($E$2=29.5,'S3'!AF142,IF($E$2=30.5,'S3'!AG142,IF($E$2=31.5,'S3'!AH142,IF($E$2=32.5,'S3'!AI142,IF($E$2=33.5,'S3'!AJ142))))))))))))</f>
        <v>215.27</v>
      </c>
      <c r="F142" s="74">
        <f t="shared" si="10"/>
        <v>301.38</v>
      </c>
    </row>
    <row r="143" spans="2:6">
      <c r="B143" s="148">
        <v>139</v>
      </c>
      <c r="C143" s="74">
        <f>IF($C$2=22.5,'S3'!A143,IF($C$2=23.5,'S3'!B143,IF($C$2=24.5,'S3'!C143,IF($C$2=25.5,'S3'!D143,IF($C$2=26.5,'S3'!E143,IF($C$2=27.5,'S3'!F143,IF($C$2=28.5,'S3'!G143,IF($C$2=29.5,'S3'!H143,IF($C$2=30.5,'S3'!I143,IF($C$2=31.5,'S3'!J143,IF($C$2=32.5,'S3'!K143,IF($C$2=33.5,'S3'!L143))))))))))))</f>
        <v>348.12</v>
      </c>
      <c r="D143" s="74">
        <f t="shared" si="11"/>
        <v>487.37</v>
      </c>
      <c r="E143" s="74">
        <f>IF($E$2=22.5,'S3'!Y143,IF($E$2=23.5,'S3'!Z143,IF($E$2=24.5,'S3'!AA143,IF($E$2=25.5,'S3'!AB143,IF($E$2=26.5,'S3'!AC143,IF($E$2=27.5,'S3'!AD143,IF($E$2=28.5,'S3'!AE143,IF($E$2=29.5,'S3'!AF143,IF($E$2=30.5,'S3'!AG143,IF($E$2=31.5,'S3'!AH143,IF($E$2=32.5,'S3'!AI143,IF($E$2=33.5,'S3'!AJ143))))))))))))</f>
        <v>216.8</v>
      </c>
      <c r="F143" s="74">
        <f t="shared" si="10"/>
        <v>303.52</v>
      </c>
    </row>
    <row r="144" spans="2:6">
      <c r="B144" s="148">
        <v>140</v>
      </c>
      <c r="C144" s="74">
        <f>IF($C$2=22.5,'S3'!A144,IF($C$2=23.5,'S3'!B144,IF($C$2=24.5,'S3'!C144,IF($C$2=25.5,'S3'!D144,IF($C$2=26.5,'S3'!E144,IF($C$2=27.5,'S3'!F144,IF($C$2=28.5,'S3'!G144,IF($C$2=29.5,'S3'!H144,IF($C$2=30.5,'S3'!I144,IF($C$2=31.5,'S3'!J144,IF($C$2=32.5,'S3'!K144,IF($C$2=33.5,'S3'!L144))))))))))))</f>
        <v>350.5</v>
      </c>
      <c r="D144" s="74">
        <f t="shared" si="11"/>
        <v>490.7</v>
      </c>
      <c r="E144" s="74">
        <f>IF($E$2=22.5,'S3'!Y144,IF($E$2=23.5,'S3'!Z144,IF($E$2=24.5,'S3'!AA144,IF($E$2=25.5,'S3'!AB144,IF($E$2=26.5,'S3'!AC144,IF($E$2=27.5,'S3'!AD144,IF($E$2=28.5,'S3'!AE144,IF($E$2=29.5,'S3'!AF144,IF($E$2=30.5,'S3'!AG144,IF($E$2=31.5,'S3'!AH144,IF($E$2=32.5,'S3'!AI144,IF($E$2=33.5,'S3'!AJ144))))))))))))</f>
        <v>218.33</v>
      </c>
      <c r="F144" s="74">
        <f t="shared" si="10"/>
        <v>305.66000000000003</v>
      </c>
    </row>
    <row r="145" spans="2:6">
      <c r="B145" s="148">
        <v>141</v>
      </c>
      <c r="C145" s="74">
        <f>IF($C$2=22.5,'S3'!A145,IF($C$2=23.5,'S3'!B145,IF($C$2=24.5,'S3'!C145,IF($C$2=25.5,'S3'!D145,IF($C$2=26.5,'S3'!E145,IF($C$2=27.5,'S3'!F145,IF($C$2=28.5,'S3'!G145,IF($C$2=29.5,'S3'!H145,IF($C$2=30.5,'S3'!I145,IF($C$2=31.5,'S3'!J145,IF($C$2=32.5,'S3'!K145,IF($C$2=33.5,'S3'!L145))))))))))))</f>
        <v>352.89</v>
      </c>
      <c r="D145" s="74">
        <f t="shared" si="11"/>
        <v>494.05</v>
      </c>
      <c r="E145" s="74">
        <f>IF($E$2=22.5,'S3'!Y145,IF($E$2=23.5,'S3'!Z145,IF($E$2=24.5,'S3'!AA145,IF($E$2=25.5,'S3'!AB145,IF($E$2=26.5,'S3'!AC145,IF($E$2=27.5,'S3'!AD145,IF($E$2=28.5,'S3'!AE145,IF($E$2=29.5,'S3'!AF145,IF($E$2=30.5,'S3'!AG145,IF($E$2=31.5,'S3'!AH145,IF($E$2=32.5,'S3'!AI145,IF($E$2=33.5,'S3'!AJ145))))))))))))</f>
        <v>219.95</v>
      </c>
      <c r="F145" s="74">
        <f t="shared" si="10"/>
        <v>307.93</v>
      </c>
    </row>
    <row r="146" spans="2:6">
      <c r="B146" s="148">
        <v>142</v>
      </c>
      <c r="C146" s="74">
        <f>IF($C$2=22.5,'S3'!A146,IF($C$2=23.5,'S3'!B146,IF($C$2=24.5,'S3'!C146,IF($C$2=25.5,'S3'!D146,IF($C$2=26.5,'S3'!E146,IF($C$2=27.5,'S3'!F146,IF($C$2=28.5,'S3'!G146,IF($C$2=29.5,'S3'!H146,IF($C$2=30.5,'S3'!I146,IF($C$2=31.5,'S3'!J146,IF($C$2=32.5,'S3'!K146,IF($C$2=33.5,'S3'!L146))))))))))))</f>
        <v>355.61</v>
      </c>
      <c r="D146" s="74">
        <f t="shared" si="11"/>
        <v>497.85</v>
      </c>
      <c r="E146" s="74">
        <f>IF($E$2=22.5,'S3'!Y146,IF($E$2=23.5,'S3'!Z146,IF($E$2=24.5,'S3'!AA146,IF($E$2=25.5,'S3'!AB146,IF($E$2=26.5,'S3'!AC146,IF($E$2=27.5,'S3'!AD146,IF($E$2=28.5,'S3'!AE146,IF($E$2=29.5,'S3'!AF146,IF($E$2=30.5,'S3'!AG146,IF($E$2=31.5,'S3'!AH146,IF($E$2=32.5,'S3'!AI146,IF($E$2=33.5,'S3'!AJ146))))))))))))</f>
        <v>221.48</v>
      </c>
      <c r="F146" s="74">
        <f t="shared" si="10"/>
        <v>310.07</v>
      </c>
    </row>
    <row r="147" spans="2:6">
      <c r="B147" s="148">
        <v>143</v>
      </c>
      <c r="C147" s="74">
        <f>IF($C$2=22.5,'S3'!A147,IF($C$2=23.5,'S3'!B147,IF($C$2=24.5,'S3'!C147,IF($C$2=25.5,'S3'!D147,IF($C$2=26.5,'S3'!E147,IF($C$2=27.5,'S3'!F147,IF($C$2=28.5,'S3'!G147,IF($C$2=29.5,'S3'!H147,IF($C$2=30.5,'S3'!I147,IF($C$2=31.5,'S3'!J147,IF($C$2=32.5,'S3'!K147,IF($C$2=33.5,'S3'!L147))))))))))))</f>
        <v>358</v>
      </c>
      <c r="D147" s="74">
        <f t="shared" si="11"/>
        <v>501.2</v>
      </c>
      <c r="E147" s="74">
        <f>IF($E$2=22.5,'S3'!Y147,IF($E$2=23.5,'S3'!Z147,IF($E$2=24.5,'S3'!AA147,IF($E$2=25.5,'S3'!AB147,IF($E$2=26.5,'S3'!AC147,IF($E$2=27.5,'S3'!AD147,IF($E$2=28.5,'S3'!AE147,IF($E$2=29.5,'S3'!AF147,IF($E$2=30.5,'S3'!AG147,IF($E$2=31.5,'S3'!AH147,IF($E$2=32.5,'S3'!AI147,IF($E$2=33.5,'S3'!AJ147))))))))))))</f>
        <v>223.01</v>
      </c>
      <c r="F147" s="74">
        <f t="shared" si="10"/>
        <v>312.20999999999998</v>
      </c>
    </row>
    <row r="148" spans="2:6">
      <c r="B148" s="148">
        <v>144</v>
      </c>
      <c r="C148" s="74">
        <f>IF($C$2=22.5,'S3'!A148,IF($C$2=23.5,'S3'!B148,IF($C$2=24.5,'S3'!C148,IF($C$2=25.5,'S3'!D148,IF($C$2=26.5,'S3'!E148,IF($C$2=27.5,'S3'!F148,IF($C$2=28.5,'S3'!G148,IF($C$2=29.5,'S3'!H148,IF($C$2=30.5,'S3'!I148,IF($C$2=31.5,'S3'!J148,IF($C$2=32.5,'S3'!K148,IF($C$2=33.5,'S3'!L148))))))))))))</f>
        <v>360.4</v>
      </c>
      <c r="D148" s="74">
        <f t="shared" si="11"/>
        <v>504.56</v>
      </c>
      <c r="E148" s="74">
        <f>IF($E$2=22.5,'S3'!Y148,IF($E$2=23.5,'S3'!Z148,IF($E$2=24.5,'S3'!AA148,IF($E$2=25.5,'S3'!AB148,IF($E$2=26.5,'S3'!AC148,IF($E$2=27.5,'S3'!AD148,IF($E$2=28.5,'S3'!AE148,IF($E$2=29.5,'S3'!AF148,IF($E$2=30.5,'S3'!AG148,IF($E$2=31.5,'S3'!AH148,IF($E$2=32.5,'S3'!AI148,IF($E$2=33.5,'S3'!AJ148))))))))))))</f>
        <v>224.64</v>
      </c>
      <c r="F148" s="74">
        <f t="shared" si="10"/>
        <v>314.5</v>
      </c>
    </row>
    <row r="149" spans="2:6">
      <c r="B149" s="148">
        <v>145</v>
      </c>
      <c r="C149" s="74">
        <f>IF($C$2=22.5,'S3'!A149,IF($C$2=23.5,'S3'!B149,IF($C$2=24.5,'S3'!C149,IF($C$2=25.5,'S3'!D149,IF($C$2=26.5,'S3'!E149,IF($C$2=27.5,'S3'!F149,IF($C$2=28.5,'S3'!G149,IF($C$2=29.5,'S3'!H149,IF($C$2=30.5,'S3'!I149,IF($C$2=31.5,'S3'!J149,IF($C$2=32.5,'S3'!K149,IF($C$2=33.5,'S3'!L149))))))))))))</f>
        <v>363.15</v>
      </c>
      <c r="D149" s="74">
        <f t="shared" si="11"/>
        <v>508.41</v>
      </c>
      <c r="E149" s="74">
        <f>IF($E$2=22.5,'S3'!Y149,IF($E$2=23.5,'S3'!Z149,IF($E$2=24.5,'S3'!AA149,IF($E$2=25.5,'S3'!AB149,IF($E$2=26.5,'S3'!AC149,IF($E$2=27.5,'S3'!AD149,IF($E$2=28.5,'S3'!AE149,IF($E$2=29.5,'S3'!AF149,IF($E$2=30.5,'S3'!AG149,IF($E$2=31.5,'S3'!AH149,IF($E$2=32.5,'S3'!AI149,IF($E$2=33.5,'S3'!AJ149))))))))))))</f>
        <v>226.17</v>
      </c>
      <c r="F149" s="74">
        <f t="shared" si="10"/>
        <v>316.64</v>
      </c>
    </row>
    <row r="150" spans="2:6">
      <c r="B150" s="148">
        <v>146</v>
      </c>
      <c r="C150" s="74">
        <f>IF($C$2=22.5,'S3'!A150,IF($C$2=23.5,'S3'!B150,IF($C$2=24.5,'S3'!C150,IF($C$2=25.5,'S3'!D150,IF($C$2=26.5,'S3'!E150,IF($C$2=27.5,'S3'!F150,IF($C$2=28.5,'S3'!G150,IF($C$2=29.5,'S3'!H150,IF($C$2=30.5,'S3'!I150,IF($C$2=31.5,'S3'!J150,IF($C$2=32.5,'S3'!K150,IF($C$2=33.5,'S3'!L150))))))))))))</f>
        <v>365.56</v>
      </c>
      <c r="D150" s="74">
        <f t="shared" si="11"/>
        <v>511.78</v>
      </c>
      <c r="E150" s="74">
        <f>IF($E$2=22.5,'S3'!Y150,IF($E$2=23.5,'S3'!Z150,IF($E$2=24.5,'S3'!AA150,IF($E$2=25.5,'S3'!AB150,IF($E$2=26.5,'S3'!AC150,IF($E$2=27.5,'S3'!AD150,IF($E$2=28.5,'S3'!AE150,IF($E$2=29.5,'S3'!AF150,IF($E$2=30.5,'S3'!AG150,IF($E$2=31.5,'S3'!AH150,IF($E$2=32.5,'S3'!AI150,IF($E$2=33.5,'S3'!AJ150))))))))))))</f>
        <v>227.71</v>
      </c>
      <c r="F150" s="74">
        <f t="shared" si="10"/>
        <v>318.79000000000002</v>
      </c>
    </row>
    <row r="151" spans="2:6">
      <c r="B151" s="148">
        <v>147</v>
      </c>
      <c r="C151" s="74">
        <f>IF($C$2=22.5,'S3'!A151,IF($C$2=23.5,'S3'!B151,IF($C$2=24.5,'S3'!C151,IF($C$2=25.5,'S3'!D151,IF($C$2=26.5,'S3'!E151,IF($C$2=27.5,'S3'!F151,IF($C$2=28.5,'S3'!G151,IF($C$2=29.5,'S3'!H151,IF($C$2=30.5,'S3'!I151,IF($C$2=31.5,'S3'!J151,IF($C$2=32.5,'S3'!K151,IF($C$2=33.5,'S3'!L151))))))))))))</f>
        <v>367.98</v>
      </c>
      <c r="D151" s="74">
        <f t="shared" si="11"/>
        <v>515.16999999999996</v>
      </c>
      <c r="E151" s="74">
        <f>IF($E$2=22.5,'S3'!Y151,IF($E$2=23.5,'S3'!Z151,IF($E$2=24.5,'S3'!AA151,IF($E$2=25.5,'S3'!AB151,IF($E$2=26.5,'S3'!AC151,IF($E$2=27.5,'S3'!AD151,IF($E$2=28.5,'S3'!AE151,IF($E$2=29.5,'S3'!AF151,IF($E$2=30.5,'S3'!AG151,IF($E$2=31.5,'S3'!AH151,IF($E$2=32.5,'S3'!AI151,IF($E$2=33.5,'S3'!AJ151))))))))))))</f>
        <v>229.25</v>
      </c>
      <c r="F151" s="74">
        <f t="shared" si="10"/>
        <v>320.95</v>
      </c>
    </row>
    <row r="152" spans="2:6">
      <c r="B152" s="148">
        <v>148</v>
      </c>
      <c r="C152" s="74">
        <f>IF($C$2=22.5,'S3'!A152,IF($C$2=23.5,'S3'!B152,IF($C$2=24.5,'S3'!C152,IF($C$2=25.5,'S3'!D152,IF($C$2=26.5,'S3'!E152,IF($C$2=27.5,'S3'!F152,IF($C$2=28.5,'S3'!G152,IF($C$2=29.5,'S3'!H152,IF($C$2=30.5,'S3'!I152,IF($C$2=31.5,'S3'!J152,IF($C$2=32.5,'S3'!K152,IF($C$2=33.5,'S3'!L152))))))))))))</f>
        <v>370.39</v>
      </c>
      <c r="D152" s="74">
        <f t="shared" si="11"/>
        <v>518.54999999999995</v>
      </c>
      <c r="E152" s="74">
        <f>IF($E$2=22.5,'S3'!Y152,IF($E$2=23.5,'S3'!Z152,IF($E$2=24.5,'S3'!AA152,IF($E$2=25.5,'S3'!AB152,IF($E$2=26.5,'S3'!AC152,IF($E$2=27.5,'S3'!AD152,IF($E$2=28.5,'S3'!AE152,IF($E$2=29.5,'S3'!AF152,IF($E$2=30.5,'S3'!AG152,IF($E$2=31.5,'S3'!AH152,IF($E$2=32.5,'S3'!AI152,IF($E$2=33.5,'S3'!AJ152))))))))))))</f>
        <v>230.78</v>
      </c>
      <c r="F152" s="74">
        <f t="shared" si="10"/>
        <v>323.08999999999997</v>
      </c>
    </row>
    <row r="153" spans="2:6">
      <c r="B153" s="148">
        <v>149</v>
      </c>
      <c r="C153" s="74">
        <f>IF($C$2=22.5,'S3'!A153,IF($C$2=23.5,'S3'!B153,IF($C$2=24.5,'S3'!C153,IF($C$2=25.5,'S3'!D153,IF($C$2=26.5,'S3'!E153,IF($C$2=27.5,'S3'!F153,IF($C$2=28.5,'S3'!G153,IF($C$2=29.5,'S3'!H153,IF($C$2=30.5,'S3'!I153,IF($C$2=31.5,'S3'!J153,IF($C$2=32.5,'S3'!K153,IF($C$2=33.5,'S3'!L153))))))))))))</f>
        <v>372.81</v>
      </c>
      <c r="D153" s="74">
        <f t="shared" si="11"/>
        <v>521.92999999999995</v>
      </c>
      <c r="E153" s="74">
        <f>IF($E$2=22.5,'S3'!Y153,IF($E$2=23.5,'S3'!Z153,IF($E$2=24.5,'S3'!AA153,IF($E$2=25.5,'S3'!AB153,IF($E$2=26.5,'S3'!AC153,IF($E$2=27.5,'S3'!AD153,IF($E$2=28.5,'S3'!AE153,IF($E$2=29.5,'S3'!AF153,IF($E$2=30.5,'S3'!AG153,IF($E$2=31.5,'S3'!AH153,IF($E$2=32.5,'S3'!AI153,IF($E$2=33.5,'S3'!AJ153))))))))))))</f>
        <v>232.42</v>
      </c>
      <c r="F153" s="74">
        <f t="shared" si="10"/>
        <v>325.39</v>
      </c>
    </row>
    <row r="154" spans="2:6">
      <c r="B154" s="148">
        <v>150</v>
      </c>
      <c r="C154" s="74">
        <f>IF($C$2=22.5,'S3'!A154,IF($C$2=23.5,'S3'!B154,IF($C$2=24.5,'S3'!C154,IF($C$2=25.5,'S3'!D154,IF($C$2=26.5,'S3'!E154,IF($C$2=27.5,'S3'!F154,IF($C$2=28.5,'S3'!G154,IF($C$2=29.5,'S3'!H154,IF($C$2=30.5,'S3'!I154,IF($C$2=31.5,'S3'!J154,IF($C$2=32.5,'S3'!K154,IF($C$2=33.5,'S3'!L154))))))))))))</f>
        <v>375.61</v>
      </c>
      <c r="D154" s="74">
        <f t="shared" si="11"/>
        <v>525.85</v>
      </c>
      <c r="E154" s="74">
        <f>IF($E$2=22.5,'S3'!Y154,IF($E$2=23.5,'S3'!Z154,IF($E$2=24.5,'S3'!AA154,IF($E$2=25.5,'S3'!AB154,IF($E$2=26.5,'S3'!AC154,IF($E$2=27.5,'S3'!AD154,IF($E$2=28.5,'S3'!AE154,IF($E$2=29.5,'S3'!AF154,IF($E$2=30.5,'S3'!AG154,IF($E$2=31.5,'S3'!AH154,IF($E$2=32.5,'S3'!AI154,IF($E$2=33.5,'S3'!AJ154))))))))))))</f>
        <v>233.96</v>
      </c>
      <c r="F154" s="74">
        <f t="shared" si="10"/>
        <v>327.54000000000002</v>
      </c>
    </row>
    <row r="155" spans="2:6">
      <c r="B155" s="148">
        <v>151</v>
      </c>
      <c r="C155" s="74">
        <f>IF($C$2=22.5,'S3'!A155,IF($C$2=23.5,'S3'!B155,IF($C$2=24.5,'S3'!C155,IF($C$2=25.5,'S3'!D155,IF($C$2=26.5,'S3'!E155,IF($C$2=27.5,'S3'!F155,IF($C$2=28.5,'S3'!G155,IF($C$2=29.5,'S3'!H155,IF($C$2=30.5,'S3'!I155,IF($C$2=31.5,'S3'!J155,IF($C$2=32.5,'S3'!K155,IF($C$2=33.5,'S3'!L155))))))))))))</f>
        <v>378.05</v>
      </c>
      <c r="D155" s="74">
        <f t="shared" si="11"/>
        <v>529.27</v>
      </c>
      <c r="E155" s="74">
        <f>IF($E$2=22.5,'S3'!Y155,IF($E$2=23.5,'S3'!Z155,IF($E$2=24.5,'S3'!AA155,IF($E$2=25.5,'S3'!AB155,IF($E$2=26.5,'S3'!AC155,IF($E$2=27.5,'S3'!AD155,IF($E$2=28.5,'S3'!AE155,IF($E$2=29.5,'S3'!AF155,IF($E$2=30.5,'S3'!AG155,IF($E$2=31.5,'S3'!AH155,IF($E$2=32.5,'S3'!AI155,IF($E$2=33.5,'S3'!AJ155))))))))))))</f>
        <v>235.51</v>
      </c>
      <c r="F155" s="74">
        <f t="shared" si="10"/>
        <v>329.71</v>
      </c>
    </row>
    <row r="156" spans="2:6">
      <c r="B156" s="148">
        <v>152</v>
      </c>
      <c r="C156" s="74">
        <f>IF($C$2=22.5,'S3'!A156,IF($C$2=23.5,'S3'!B156,IF($C$2=24.5,'S3'!C156,IF($C$2=25.5,'S3'!D156,IF($C$2=26.5,'S3'!E156,IF($C$2=27.5,'S3'!F156,IF($C$2=28.5,'S3'!G156,IF($C$2=29.5,'S3'!H156,IF($C$2=30.5,'S3'!I156,IF($C$2=31.5,'S3'!J156,IF($C$2=32.5,'S3'!K156,IF($C$2=33.5,'S3'!L156))))))))))))</f>
        <v>380.48</v>
      </c>
      <c r="D156" s="74">
        <f t="shared" si="11"/>
        <v>532.66999999999996</v>
      </c>
      <c r="E156" s="74">
        <f>IF($E$2=22.5,'S3'!Y156,IF($E$2=23.5,'S3'!Z156,IF($E$2=24.5,'S3'!AA156,IF($E$2=25.5,'S3'!AB156,IF($E$2=26.5,'S3'!AC156,IF($E$2=27.5,'S3'!AD156,IF($E$2=28.5,'S3'!AE156,IF($E$2=29.5,'S3'!AF156,IF($E$2=30.5,'S3'!AG156,IF($E$2=31.5,'S3'!AH156,IF($E$2=32.5,'S3'!AI156,IF($E$2=33.5,'S3'!AJ156))))))))))))</f>
        <v>237.05</v>
      </c>
      <c r="F156" s="74">
        <f t="shared" si="10"/>
        <v>331.87</v>
      </c>
    </row>
    <row r="157" spans="2:6">
      <c r="B157" s="148">
        <v>153</v>
      </c>
      <c r="C157" s="74">
        <f>IF($C$2=22.5,'S3'!A157,IF($C$2=23.5,'S3'!B157,IF($C$2=24.5,'S3'!C157,IF($C$2=25.5,'S3'!D157,IF($C$2=26.5,'S3'!E157,IF($C$2=27.5,'S3'!F157,IF($C$2=28.5,'S3'!G157,IF($C$2=29.5,'S3'!H157,IF($C$2=30.5,'S3'!I157,IF($C$2=31.5,'S3'!J157,IF($C$2=32.5,'S3'!K157,IF($C$2=33.5,'S3'!L157))))))))))))</f>
        <v>382.93</v>
      </c>
      <c r="D157" s="74">
        <f t="shared" si="11"/>
        <v>536.1</v>
      </c>
      <c r="E157" s="74">
        <f>IF($E$2=22.5,'S3'!Y157,IF($E$2=23.5,'S3'!Z157,IF($E$2=24.5,'S3'!AA157,IF($E$2=25.5,'S3'!AB157,IF($E$2=26.5,'S3'!AC157,IF($E$2=27.5,'S3'!AD157,IF($E$2=28.5,'S3'!AE157,IF($E$2=29.5,'S3'!AF157,IF($E$2=30.5,'S3'!AG157,IF($E$2=31.5,'S3'!AH157,IF($E$2=32.5,'S3'!AI157,IF($E$2=33.5,'S3'!AJ157))))))))))))</f>
        <v>238.6</v>
      </c>
      <c r="F157" s="74">
        <f t="shared" si="10"/>
        <v>334.04</v>
      </c>
    </row>
    <row r="158" spans="2:6">
      <c r="B158" s="148">
        <v>154</v>
      </c>
      <c r="C158" s="74">
        <f>IF($C$2=22.5,'S3'!A158,IF($C$2=23.5,'S3'!B158,IF($C$2=24.5,'S3'!C158,IF($C$2=25.5,'S3'!D158,IF($C$2=26.5,'S3'!E158,IF($C$2=27.5,'S3'!F158,IF($C$2=28.5,'S3'!G158,IF($C$2=29.5,'S3'!H158,IF($C$2=30.5,'S3'!I158,IF($C$2=31.5,'S3'!J158,IF($C$2=32.5,'S3'!K158,IF($C$2=33.5,'S3'!L158))))))))))))</f>
        <v>385.37</v>
      </c>
      <c r="D158" s="74">
        <f t="shared" si="11"/>
        <v>539.52</v>
      </c>
      <c r="E158" s="74">
        <f>IF($E$2=22.5,'S3'!Y158,IF($E$2=23.5,'S3'!Z158,IF($E$2=24.5,'S3'!AA158,IF($E$2=25.5,'S3'!AB158,IF($E$2=26.5,'S3'!AC158,IF($E$2=27.5,'S3'!AD158,IF($E$2=28.5,'S3'!AE158,IF($E$2=29.5,'S3'!AF158,IF($E$2=30.5,'S3'!AG158,IF($E$2=31.5,'S3'!AH158,IF($E$2=32.5,'S3'!AI158,IF($E$2=33.5,'S3'!AJ158))))))))))))</f>
        <v>240.14</v>
      </c>
      <c r="F158" s="74">
        <f t="shared" si="10"/>
        <v>336.2</v>
      </c>
    </row>
    <row r="159" spans="2:6">
      <c r="B159" s="148">
        <v>155</v>
      </c>
      <c r="C159" s="74">
        <f>IF($C$2=22.5,'S3'!A159,IF($C$2=23.5,'S3'!B159,IF($C$2=24.5,'S3'!C159,IF($C$2=25.5,'S3'!D159,IF($C$2=26.5,'S3'!E159,IF($C$2=27.5,'S3'!F159,IF($C$2=28.5,'S3'!G159,IF($C$2=29.5,'S3'!H159,IF($C$2=30.5,'S3'!I159,IF($C$2=31.5,'S3'!J159,IF($C$2=32.5,'S3'!K159,IF($C$2=33.5,'S3'!L159))))))))))))</f>
        <v>387.82</v>
      </c>
      <c r="D159" s="74">
        <f t="shared" si="11"/>
        <v>542.95000000000005</v>
      </c>
      <c r="E159" s="74">
        <f>IF($E$2=22.5,'S3'!Y159,IF($E$2=23.5,'S3'!Z159,IF($E$2=24.5,'S3'!AA159,IF($E$2=25.5,'S3'!AB159,IF($E$2=26.5,'S3'!AC159,IF($E$2=27.5,'S3'!AD159,IF($E$2=28.5,'S3'!AE159,IF($E$2=29.5,'S3'!AF159,IF($E$2=30.5,'S3'!AG159,IF($E$2=31.5,'S3'!AH159,IF($E$2=32.5,'S3'!AI159,IF($E$2=33.5,'S3'!AJ159))))))))))))</f>
        <v>241.69</v>
      </c>
      <c r="F159" s="74">
        <f t="shared" si="10"/>
        <v>338.37</v>
      </c>
    </row>
    <row r="160" spans="2:6">
      <c r="B160" s="148">
        <v>156</v>
      </c>
      <c r="C160" s="74">
        <f>IF($C$2=22.5,'S3'!A160,IF($C$2=23.5,'S3'!B160,IF($C$2=24.5,'S3'!C160,IF($C$2=25.5,'S3'!D160,IF($C$2=26.5,'S3'!E160,IF($C$2=27.5,'S3'!F160,IF($C$2=28.5,'S3'!G160,IF($C$2=29.5,'S3'!H160,IF($C$2=30.5,'S3'!I160,IF($C$2=31.5,'S3'!J160,IF($C$2=32.5,'S3'!K160,IF($C$2=33.5,'S3'!L160))))))))))))</f>
        <v>390.28</v>
      </c>
      <c r="D160" s="74">
        <f t="shared" si="11"/>
        <v>546.39</v>
      </c>
      <c r="E160" s="74">
        <f>IF($E$2=22.5,'S3'!Y160,IF($E$2=23.5,'S3'!Z160,IF($E$2=24.5,'S3'!AA160,IF($E$2=25.5,'S3'!AB160,IF($E$2=26.5,'S3'!AC160,IF($E$2=27.5,'S3'!AD160,IF($E$2=28.5,'S3'!AE160,IF($E$2=29.5,'S3'!AF160,IF($E$2=30.5,'S3'!AG160,IF($E$2=31.5,'S3'!AH160,IF($E$2=32.5,'S3'!AI160,IF($E$2=33.5,'S3'!AJ160))))))))))))</f>
        <v>243.24</v>
      </c>
      <c r="F160" s="74">
        <f t="shared" si="10"/>
        <v>340.54</v>
      </c>
    </row>
    <row r="161" spans="2:6">
      <c r="B161" s="148">
        <v>157</v>
      </c>
      <c r="C161" s="74">
        <f>IF($C$2=22.5,'S3'!A161,IF($C$2=23.5,'S3'!B161,IF($C$2=24.5,'S3'!C161,IF($C$2=25.5,'S3'!D161,IF($C$2=26.5,'S3'!E161,IF($C$2=27.5,'S3'!F161,IF($C$2=28.5,'S3'!G161,IF($C$2=29.5,'S3'!H161,IF($C$2=30.5,'S3'!I161,IF($C$2=31.5,'S3'!J161,IF($C$2=32.5,'S3'!K161,IF($C$2=33.5,'S3'!L161))))))))))))</f>
        <v>392.74</v>
      </c>
      <c r="D161" s="74">
        <f t="shared" si="11"/>
        <v>549.84</v>
      </c>
      <c r="E161" s="74">
        <f>IF($E$2=22.5,'S3'!Y161,IF($E$2=23.5,'S3'!Z161,IF($E$2=24.5,'S3'!AA161,IF($E$2=25.5,'S3'!AB161,IF($E$2=26.5,'S3'!AC161,IF($E$2=27.5,'S3'!AD161,IF($E$2=28.5,'S3'!AE161,IF($E$2=29.5,'S3'!AF161,IF($E$2=30.5,'S3'!AG161,IF($E$2=31.5,'S3'!AH161,IF($E$2=32.5,'S3'!AI161,IF($E$2=33.5,'S3'!AJ161))))))))))))</f>
        <v>244.79</v>
      </c>
      <c r="F161" s="74">
        <f t="shared" si="10"/>
        <v>342.71</v>
      </c>
    </row>
    <row r="162" spans="2:6">
      <c r="B162" s="148">
        <v>158</v>
      </c>
      <c r="C162" s="74">
        <f>IF($C$2=22.5,'S3'!A162,IF($C$2=23.5,'S3'!B162,IF($C$2=24.5,'S3'!C162,IF($C$2=25.5,'S3'!D162,IF($C$2=26.5,'S3'!E162,IF($C$2=27.5,'S3'!F162,IF($C$2=28.5,'S3'!G162,IF($C$2=29.5,'S3'!H162,IF($C$2=30.5,'S3'!I162,IF($C$2=31.5,'S3'!J162,IF($C$2=32.5,'S3'!K162,IF($C$2=33.5,'S3'!L162))))))))))))</f>
        <v>395.62</v>
      </c>
      <c r="D162" s="74">
        <f t="shared" si="11"/>
        <v>553.87</v>
      </c>
      <c r="E162" s="74">
        <f>IF($E$2=22.5,'S3'!Y162,IF($E$2=23.5,'S3'!Z162,IF($E$2=24.5,'S3'!AA162,IF($E$2=25.5,'S3'!AB162,IF($E$2=26.5,'S3'!AC162,IF($E$2=27.5,'S3'!AD162,IF($E$2=28.5,'S3'!AE162,IF($E$2=29.5,'S3'!AF162,IF($E$2=30.5,'S3'!AG162,IF($E$2=31.5,'S3'!AH162,IF($E$2=32.5,'S3'!AI162,IF($E$2=33.5,'S3'!AJ162))))))))))))</f>
        <v>246.34</v>
      </c>
      <c r="F162" s="74">
        <f t="shared" si="10"/>
        <v>344.88</v>
      </c>
    </row>
    <row r="163" spans="2:6">
      <c r="B163" s="148">
        <v>159</v>
      </c>
      <c r="C163" s="74">
        <f>IF($C$2=22.5,'S3'!A163,IF($C$2=23.5,'S3'!B163,IF($C$2=24.5,'S3'!C163,IF($C$2=25.5,'S3'!D163,IF($C$2=26.5,'S3'!E163,IF($C$2=27.5,'S3'!F163,IF($C$2=28.5,'S3'!G163,IF($C$2=29.5,'S3'!H163,IF($C$2=30.5,'S3'!I163,IF($C$2=31.5,'S3'!J163,IF($C$2=32.5,'S3'!K163,IF($C$2=33.5,'S3'!L163))))))))))))</f>
        <v>398.09</v>
      </c>
      <c r="D163" s="74">
        <f t="shared" si="11"/>
        <v>557.33000000000004</v>
      </c>
      <c r="E163" s="74">
        <f>IF($E$2=22.5,'S3'!Y163,IF($E$2=23.5,'S3'!Z163,IF($E$2=24.5,'S3'!AA163,IF($E$2=25.5,'S3'!AB163,IF($E$2=26.5,'S3'!AC163,IF($E$2=27.5,'S3'!AD163,IF($E$2=28.5,'S3'!AE163,IF($E$2=29.5,'S3'!AF163,IF($E$2=30.5,'S3'!AG163,IF($E$2=31.5,'S3'!AH163,IF($E$2=32.5,'S3'!AI163,IF($E$2=33.5,'S3'!AJ163))))))))))))</f>
        <v>247.89</v>
      </c>
      <c r="F163" s="74">
        <f t="shared" si="10"/>
        <v>347.05</v>
      </c>
    </row>
    <row r="164" spans="2:6">
      <c r="B164" s="148">
        <v>160</v>
      </c>
      <c r="C164" s="74">
        <f>IF($C$2=22.5,'S3'!A164,IF($C$2=23.5,'S3'!B164,IF($C$2=24.5,'S3'!C164,IF($C$2=25.5,'S3'!D164,IF($C$2=26.5,'S3'!E164,IF($C$2=27.5,'S3'!F164,IF($C$2=28.5,'S3'!G164,IF($C$2=29.5,'S3'!H164,IF($C$2=30.5,'S3'!I164,IF($C$2=31.5,'S3'!J164,IF($C$2=32.5,'S3'!K164,IF($C$2=33.5,'S3'!L164))))))))))))</f>
        <v>400.57</v>
      </c>
      <c r="D164" s="74">
        <f t="shared" si="11"/>
        <v>560.79999999999995</v>
      </c>
      <c r="E164" s="74">
        <f>IF($E$2=22.5,'S3'!Y164,IF($E$2=23.5,'S3'!Z164,IF($E$2=24.5,'S3'!AA164,IF($E$2=25.5,'S3'!AB164,IF($E$2=26.5,'S3'!AC164,IF($E$2=27.5,'S3'!AD164,IF($E$2=28.5,'S3'!AE164,IF($E$2=29.5,'S3'!AF164,IF($E$2=30.5,'S3'!AG164,IF($E$2=31.5,'S3'!AH164,IF($E$2=32.5,'S3'!AI164,IF($E$2=33.5,'S3'!AJ164))))))))))))</f>
        <v>249.45</v>
      </c>
      <c r="F164" s="74">
        <f t="shared" si="10"/>
        <v>349.23</v>
      </c>
    </row>
    <row r="165" spans="2:6">
      <c r="B165" s="148">
        <v>161</v>
      </c>
      <c r="C165" s="74">
        <f>IF($C$2=22.5,'S3'!A165,IF($C$2=23.5,'S3'!B165,IF($C$2=24.5,'S3'!C165,IF($C$2=25.5,'S3'!D165,IF($C$2=26.5,'S3'!E165,IF($C$2=27.5,'S3'!F165,IF($C$2=28.5,'S3'!G165,IF($C$2=29.5,'S3'!H165,IF($C$2=30.5,'S3'!I165,IF($C$2=31.5,'S3'!J165,IF($C$2=32.5,'S3'!K165,IF($C$2=33.5,'S3'!L165))))))))))))</f>
        <v>403.06</v>
      </c>
      <c r="D165" s="74">
        <f t="shared" si="11"/>
        <v>564.28</v>
      </c>
      <c r="E165" s="74">
        <f>IF($E$2=22.5,'S3'!Y165,IF($E$2=23.5,'S3'!Z165,IF($E$2=24.5,'S3'!AA165,IF($E$2=25.5,'S3'!AB165,IF($E$2=26.5,'S3'!AC165,IF($E$2=27.5,'S3'!AD165,IF($E$2=28.5,'S3'!AE165,IF($E$2=29.5,'S3'!AF165,IF($E$2=30.5,'S3'!AG165,IF($E$2=31.5,'S3'!AH165,IF($E$2=32.5,'S3'!AI165,IF($E$2=33.5,'S3'!AJ165))))))))))))</f>
        <v>251</v>
      </c>
      <c r="F165" s="74">
        <f t="shared" si="10"/>
        <v>351.4</v>
      </c>
    </row>
    <row r="166" spans="2:6">
      <c r="B166" s="148">
        <v>162</v>
      </c>
      <c r="C166" s="74">
        <f>IF($C$2=22.5,'S3'!A166,IF($C$2=23.5,'S3'!B166,IF($C$2=24.5,'S3'!C166,IF($C$2=25.5,'S3'!D166,IF($C$2=26.5,'S3'!E166,IF($C$2=27.5,'S3'!F166,IF($C$2=28.5,'S3'!G166,IF($C$2=29.5,'S3'!H166,IF($C$2=30.5,'S3'!I166,IF($C$2=31.5,'S3'!J166,IF($C$2=32.5,'S3'!K166,IF($C$2=33.5,'S3'!L166))))))))))))</f>
        <v>405.55</v>
      </c>
      <c r="D166" s="74">
        <f t="shared" si="11"/>
        <v>567.77</v>
      </c>
      <c r="E166" s="74">
        <f>IF($E$2=22.5,'S3'!Y166,IF($E$2=23.5,'S3'!Z166,IF($E$2=24.5,'S3'!AA166,IF($E$2=25.5,'S3'!AB166,IF($E$2=26.5,'S3'!AC166,IF($E$2=27.5,'S3'!AD166,IF($E$2=28.5,'S3'!AE166,IF($E$2=29.5,'S3'!AF166,IF($E$2=30.5,'S3'!AG166,IF($E$2=31.5,'S3'!AH166,IF($E$2=32.5,'S3'!AI166,IF($E$2=33.5,'S3'!AJ166))))))))))))</f>
        <v>252.56</v>
      </c>
      <c r="F166" s="74">
        <f t="shared" si="10"/>
        <v>353.58</v>
      </c>
    </row>
    <row r="167" spans="2:6">
      <c r="B167" s="148">
        <v>163</v>
      </c>
      <c r="C167" s="74">
        <f>IF($C$2=22.5,'S3'!A167,IF($C$2=23.5,'S3'!B167,IF($C$2=24.5,'S3'!C167,IF($C$2=25.5,'S3'!D167,IF($C$2=26.5,'S3'!E167,IF($C$2=27.5,'S3'!F167,IF($C$2=28.5,'S3'!G167,IF($C$2=29.5,'S3'!H167,IF($C$2=30.5,'S3'!I167,IF($C$2=31.5,'S3'!J167,IF($C$2=32.5,'S3'!K167,IF($C$2=33.5,'S3'!L167))))))))))))</f>
        <v>408.04</v>
      </c>
      <c r="D167" s="74">
        <f t="shared" si="11"/>
        <v>571.26</v>
      </c>
      <c r="E167" s="74">
        <f>IF($E$2=22.5,'S3'!Y167,IF($E$2=23.5,'S3'!Z167,IF($E$2=24.5,'S3'!AA167,IF($E$2=25.5,'S3'!AB167,IF($E$2=26.5,'S3'!AC167,IF($E$2=27.5,'S3'!AD167,IF($E$2=28.5,'S3'!AE167,IF($E$2=29.5,'S3'!AF167,IF($E$2=30.5,'S3'!AG167,IF($E$2=31.5,'S3'!AH167,IF($E$2=32.5,'S3'!AI167,IF($E$2=33.5,'S3'!AJ167))))))))))))</f>
        <v>254.12</v>
      </c>
      <c r="F167" s="74">
        <f t="shared" si="10"/>
        <v>355.77</v>
      </c>
    </row>
    <row r="168" spans="2:6">
      <c r="B168" s="148">
        <v>164</v>
      </c>
      <c r="C168" s="74">
        <f>IF($C$2=22.5,'S3'!A168,IF($C$2=23.5,'S3'!B168,IF($C$2=24.5,'S3'!C168,IF($C$2=25.5,'S3'!D168,IF($C$2=26.5,'S3'!E168,IF($C$2=27.5,'S3'!F168,IF($C$2=28.5,'S3'!G168,IF($C$2=29.5,'S3'!H168,IF($C$2=30.5,'S3'!I168,IF($C$2=31.5,'S3'!J168,IF($C$2=32.5,'S3'!K168,IF($C$2=33.5,'S3'!L168))))))))))))</f>
        <v>410.54</v>
      </c>
      <c r="D168" s="74">
        <f t="shared" si="11"/>
        <v>574.76</v>
      </c>
      <c r="E168" s="74">
        <f>IF($E$2=22.5,'S3'!Y168,IF($E$2=23.5,'S3'!Z168,IF($E$2=24.5,'S3'!AA168,IF($E$2=25.5,'S3'!AB168,IF($E$2=26.5,'S3'!AC168,IF($E$2=27.5,'S3'!AD168,IF($E$2=28.5,'S3'!AE168,IF($E$2=29.5,'S3'!AF168,IF($E$2=30.5,'S3'!AG168,IF($E$2=31.5,'S3'!AH168,IF($E$2=32.5,'S3'!AI168,IF($E$2=33.5,'S3'!AJ168))))))))))))</f>
        <v>255.68</v>
      </c>
      <c r="F168" s="74">
        <f t="shared" si="10"/>
        <v>357.95</v>
      </c>
    </row>
    <row r="169" spans="2:6">
      <c r="B169" s="148">
        <v>165</v>
      </c>
      <c r="C169" s="74">
        <f>IF($C$2=22.5,'S3'!A169,IF($C$2=23.5,'S3'!B169,IF($C$2=24.5,'S3'!C169,IF($C$2=25.5,'S3'!D169,IF($C$2=26.5,'S3'!E169,IF($C$2=27.5,'S3'!F169,IF($C$2=28.5,'S3'!G169,IF($C$2=29.5,'S3'!H169,IF($C$2=30.5,'S3'!I169,IF($C$2=31.5,'S3'!J169,IF($C$2=32.5,'S3'!K169,IF($C$2=33.5,'S3'!L169))))))))))))</f>
        <v>413.05</v>
      </c>
      <c r="D169" s="74">
        <f t="shared" si="11"/>
        <v>578.27</v>
      </c>
      <c r="E169" s="74">
        <f>IF($E$2=22.5,'S3'!Y169,IF($E$2=23.5,'S3'!Z169,IF($E$2=24.5,'S3'!AA169,IF($E$2=25.5,'S3'!AB169,IF($E$2=26.5,'S3'!AC169,IF($E$2=27.5,'S3'!AD169,IF($E$2=28.5,'S3'!AE169,IF($E$2=29.5,'S3'!AF169,IF($E$2=30.5,'S3'!AG169,IF($E$2=31.5,'S3'!AH169,IF($E$2=32.5,'S3'!AI169,IF($E$2=33.5,'S3'!AJ169))))))))))))</f>
        <v>257.24</v>
      </c>
      <c r="F169" s="74">
        <f t="shared" si="10"/>
        <v>360.14</v>
      </c>
    </row>
    <row r="170" spans="2:6">
      <c r="B170" s="148">
        <v>166</v>
      </c>
      <c r="C170" s="74">
        <f>IF($C$2=22.5,'S3'!A170,IF($C$2=23.5,'S3'!B170,IF($C$2=24.5,'S3'!C170,IF($C$2=25.5,'S3'!D170,IF($C$2=26.5,'S3'!E170,IF($C$2=27.5,'S3'!F170,IF($C$2=28.5,'S3'!G170,IF($C$2=29.5,'S3'!H170,IF($C$2=30.5,'S3'!I170,IF($C$2=31.5,'S3'!J170,IF($C$2=32.5,'S3'!K170,IF($C$2=33.5,'S3'!L170))))))))))))</f>
        <v>415.56</v>
      </c>
      <c r="D170" s="74">
        <f t="shared" si="11"/>
        <v>581.78</v>
      </c>
      <c r="E170" s="74">
        <f>IF($E$2=22.5,'S3'!Y170,IF($E$2=23.5,'S3'!Z170,IF($E$2=24.5,'S3'!AA170,IF($E$2=25.5,'S3'!AB170,IF($E$2=26.5,'S3'!AC170,IF($E$2=27.5,'S3'!AD170,IF($E$2=28.5,'S3'!AE170,IF($E$2=29.5,'S3'!AF170,IF($E$2=30.5,'S3'!AG170,IF($E$2=31.5,'S3'!AH170,IF($E$2=32.5,'S3'!AI170,IF($E$2=33.5,'S3'!AJ170))))))))))))</f>
        <v>258.8</v>
      </c>
      <c r="F170" s="74">
        <f t="shared" si="10"/>
        <v>362.32</v>
      </c>
    </row>
    <row r="171" spans="2:6">
      <c r="B171" s="148">
        <v>167</v>
      </c>
      <c r="C171" s="74">
        <f>IF($C$2=22.5,'S3'!A171,IF($C$2=23.5,'S3'!B171,IF($C$2=24.5,'S3'!C171,IF($C$2=25.5,'S3'!D171,IF($C$2=26.5,'S3'!E171,IF($C$2=27.5,'S3'!F171,IF($C$2=28.5,'S3'!G171,IF($C$2=29.5,'S3'!H171,IF($C$2=30.5,'S3'!I171,IF($C$2=31.5,'S3'!J171,IF($C$2=32.5,'S3'!K171,IF($C$2=33.5,'S3'!L171))))))))))))</f>
        <v>418.08</v>
      </c>
      <c r="D171" s="74">
        <f t="shared" si="11"/>
        <v>585.30999999999995</v>
      </c>
      <c r="E171" s="74">
        <f>IF($E$2=22.5,'S3'!Y171,IF($E$2=23.5,'S3'!Z171,IF($E$2=24.5,'S3'!AA171,IF($E$2=25.5,'S3'!AB171,IF($E$2=26.5,'S3'!AC171,IF($E$2=27.5,'S3'!AD171,IF($E$2=28.5,'S3'!AE171,IF($E$2=29.5,'S3'!AF171,IF($E$2=30.5,'S3'!AG171,IF($E$2=31.5,'S3'!AH171,IF($E$2=32.5,'S3'!AI171,IF($E$2=33.5,'S3'!AJ171))))))))))))</f>
        <v>260.37</v>
      </c>
      <c r="F171" s="74">
        <f t="shared" si="10"/>
        <v>364.52</v>
      </c>
    </row>
    <row r="172" spans="2:6">
      <c r="B172" s="148">
        <v>168</v>
      </c>
      <c r="C172" s="74">
        <f>IF($C$2=22.5,'S3'!A172,IF($C$2=23.5,'S3'!B172,IF($C$2=24.5,'S3'!C172,IF($C$2=25.5,'S3'!D172,IF($C$2=26.5,'S3'!E172,IF($C$2=27.5,'S3'!F172,IF($C$2=28.5,'S3'!G172,IF($C$2=29.5,'S3'!H172,IF($C$2=30.5,'S3'!I172,IF($C$2=31.5,'S3'!J172,IF($C$2=32.5,'S3'!K172,IF($C$2=33.5,'S3'!L172))))))))))))</f>
        <v>420.6</v>
      </c>
      <c r="D172" s="74">
        <f t="shared" si="11"/>
        <v>588.84</v>
      </c>
      <c r="E172" s="74">
        <f>IF($E$2=22.5,'S3'!Y172,IF($E$2=23.5,'S3'!Z172,IF($E$2=24.5,'S3'!AA172,IF($E$2=25.5,'S3'!AB172,IF($E$2=26.5,'S3'!AC172,IF($E$2=27.5,'S3'!AD172,IF($E$2=28.5,'S3'!AE172,IF($E$2=29.5,'S3'!AF172,IF($E$2=30.5,'S3'!AG172,IF($E$2=31.5,'S3'!AH172,IF($E$2=32.5,'S3'!AI172,IF($E$2=33.5,'S3'!AJ172))))))))))))</f>
        <v>261.93</v>
      </c>
      <c r="F172" s="74">
        <f t="shared" si="10"/>
        <v>366.7</v>
      </c>
    </row>
    <row r="173" spans="2:6">
      <c r="B173" s="148">
        <v>169</v>
      </c>
      <c r="C173" s="74">
        <f>IF($C$2=22.5,'S3'!A173,IF($C$2=23.5,'S3'!B173,IF($C$2=24.5,'S3'!C173,IF($C$2=25.5,'S3'!D173,IF($C$2=26.5,'S3'!E173,IF($C$2=27.5,'S3'!F173,IF($C$2=28.5,'S3'!G173,IF($C$2=29.5,'S3'!H173,IF($C$2=30.5,'S3'!I173,IF($C$2=31.5,'S3'!J173,IF($C$2=32.5,'S3'!K173,IF($C$2=33.5,'S3'!L173))))))))))))</f>
        <v>422.66</v>
      </c>
      <c r="D173" s="74">
        <f t="shared" si="11"/>
        <v>591.72</v>
      </c>
      <c r="E173" s="74">
        <f>IF($E$2=22.5,'S3'!Y173,IF($E$2=23.5,'S3'!Z173,IF($E$2=24.5,'S3'!AA173,IF($E$2=25.5,'S3'!AB173,IF($E$2=26.5,'S3'!AC173,IF($E$2=27.5,'S3'!AD173,IF($E$2=28.5,'S3'!AE173,IF($E$2=29.5,'S3'!AF173,IF($E$2=30.5,'S3'!AG173,IF($E$2=31.5,'S3'!AH173,IF($E$2=32.5,'S3'!AI173,IF($E$2=33.5,'S3'!AJ173))))))))))))</f>
        <v>263.5</v>
      </c>
      <c r="F173" s="74">
        <f t="shared" si="10"/>
        <v>368.9</v>
      </c>
    </row>
    <row r="174" spans="2:6">
      <c r="B174" s="148">
        <v>170</v>
      </c>
      <c r="C174" s="74">
        <f>IF($C$2=22.5,'S3'!A174,IF($C$2=23.5,'S3'!B174,IF($C$2=24.5,'S3'!C174,IF($C$2=25.5,'S3'!D174,IF($C$2=26.5,'S3'!E174,IF($C$2=27.5,'S3'!F174,IF($C$2=28.5,'S3'!G174,IF($C$2=29.5,'S3'!H174,IF($C$2=30.5,'S3'!I174,IF($C$2=31.5,'S3'!J174,IF($C$2=32.5,'S3'!K174,IF($C$2=33.5,'S3'!L174))))))))))))</f>
        <v>425.19</v>
      </c>
      <c r="D174" s="74">
        <f t="shared" si="11"/>
        <v>595.27</v>
      </c>
      <c r="E174" s="74">
        <f>IF($E$2=22.5,'S3'!Y174,IF($E$2=23.5,'S3'!Z174,IF($E$2=24.5,'S3'!AA174,IF($E$2=25.5,'S3'!AB174,IF($E$2=26.5,'S3'!AC174,IF($E$2=27.5,'S3'!AD174,IF($E$2=28.5,'S3'!AE174,IF($E$2=29.5,'S3'!AF174,IF($E$2=30.5,'S3'!AG174,IF($E$2=31.5,'S3'!AH174,IF($E$2=32.5,'S3'!AI174,IF($E$2=33.5,'S3'!AJ174))))))))))))</f>
        <v>265.07</v>
      </c>
      <c r="F174" s="74">
        <f t="shared" si="10"/>
        <v>371.1</v>
      </c>
    </row>
    <row r="175" spans="2:6">
      <c r="B175" s="148">
        <v>171</v>
      </c>
      <c r="C175" s="74">
        <f>IF($C$2=22.5,'S3'!A175,IF($C$2=23.5,'S3'!B175,IF($C$2=24.5,'S3'!C175,IF($C$2=25.5,'S3'!D175,IF($C$2=26.5,'S3'!E175,IF($C$2=27.5,'S3'!F175,IF($C$2=28.5,'S3'!G175,IF($C$2=29.5,'S3'!H175,IF($C$2=30.5,'S3'!I175,IF($C$2=31.5,'S3'!J175,IF($C$2=32.5,'S3'!K175,IF($C$2=33.5,'S3'!L175))))))))))))</f>
        <v>427.72</v>
      </c>
      <c r="D175" s="74">
        <f t="shared" si="11"/>
        <v>598.80999999999995</v>
      </c>
      <c r="E175" s="74">
        <f>IF($E$2=22.5,'S3'!Y175,IF($E$2=23.5,'S3'!Z175,IF($E$2=24.5,'S3'!AA175,IF($E$2=25.5,'S3'!AB175,IF($E$2=26.5,'S3'!AC175,IF($E$2=27.5,'S3'!AD175,IF($E$2=28.5,'S3'!AE175,IF($E$2=29.5,'S3'!AF175,IF($E$2=30.5,'S3'!AG175,IF($E$2=31.5,'S3'!AH175,IF($E$2=32.5,'S3'!AI175,IF($E$2=33.5,'S3'!AJ175))))))))))))</f>
        <v>266.64</v>
      </c>
      <c r="F175" s="74">
        <f t="shared" si="10"/>
        <v>373.3</v>
      </c>
    </row>
    <row r="176" spans="2:6">
      <c r="B176" s="148">
        <v>172</v>
      </c>
      <c r="C176" s="74">
        <f>IF($C$2=22.5,'S3'!A176,IF($C$2=23.5,'S3'!B176,IF($C$2=24.5,'S3'!C176,IF($C$2=25.5,'S3'!D176,IF($C$2=26.5,'S3'!E176,IF($C$2=27.5,'S3'!F176,IF($C$2=28.5,'S3'!G176,IF($C$2=29.5,'S3'!H176,IF($C$2=30.5,'S3'!I176,IF($C$2=31.5,'S3'!J176,IF($C$2=32.5,'S3'!K176,IF($C$2=33.5,'S3'!L176))))))))))))</f>
        <v>430.26</v>
      </c>
      <c r="D176" s="74">
        <f t="shared" si="11"/>
        <v>602.36</v>
      </c>
      <c r="E176" s="74">
        <f>IF($E$2=22.5,'S3'!Y176,IF($E$2=23.5,'S3'!Z176,IF($E$2=24.5,'S3'!AA176,IF($E$2=25.5,'S3'!AB176,IF($E$2=26.5,'S3'!AC176,IF($E$2=27.5,'S3'!AD176,IF($E$2=28.5,'S3'!AE176,IF($E$2=29.5,'S3'!AF176,IF($E$2=30.5,'S3'!AG176,IF($E$2=31.5,'S3'!AH176,IF($E$2=32.5,'S3'!AI176,IF($E$2=33.5,'S3'!AJ176))))))))))))</f>
        <v>268.20999999999998</v>
      </c>
      <c r="F176" s="74">
        <f t="shared" si="10"/>
        <v>375.49</v>
      </c>
    </row>
    <row r="177" spans="2:6">
      <c r="B177" s="148">
        <v>173</v>
      </c>
      <c r="C177" s="74">
        <f>IF($C$2=22.5,'S3'!A177,IF($C$2=23.5,'S3'!B177,IF($C$2=24.5,'S3'!C177,IF($C$2=25.5,'S3'!D177,IF($C$2=26.5,'S3'!E177,IF($C$2=27.5,'S3'!F177,IF($C$2=28.5,'S3'!G177,IF($C$2=29.5,'S3'!H177,IF($C$2=30.5,'S3'!I177,IF($C$2=31.5,'S3'!J177,IF($C$2=32.5,'S3'!K177,IF($C$2=33.5,'S3'!L177))))))))))))</f>
        <v>432.81</v>
      </c>
      <c r="D177" s="74">
        <f t="shared" si="11"/>
        <v>605.92999999999995</v>
      </c>
      <c r="E177" s="74">
        <f>IF($E$2=22.5,'S3'!Y177,IF($E$2=23.5,'S3'!Z177,IF($E$2=24.5,'S3'!AA177,IF($E$2=25.5,'S3'!AB177,IF($E$2=26.5,'S3'!AC177,IF($E$2=27.5,'S3'!AD177,IF($E$2=28.5,'S3'!AE177,IF($E$2=29.5,'S3'!AF177,IF($E$2=30.5,'S3'!AG177,IF($E$2=31.5,'S3'!AH177,IF($E$2=32.5,'S3'!AI177,IF($E$2=33.5,'S3'!AJ177))))))))))))</f>
        <v>269.64999999999998</v>
      </c>
      <c r="F177" s="74">
        <f t="shared" si="10"/>
        <v>377.51</v>
      </c>
    </row>
    <row r="178" spans="2:6">
      <c r="B178" s="148">
        <v>174</v>
      </c>
      <c r="C178" s="74">
        <f>IF($C$2=22.5,'S3'!A178,IF($C$2=23.5,'S3'!B178,IF($C$2=24.5,'S3'!C178,IF($C$2=25.5,'S3'!D178,IF($C$2=26.5,'S3'!E178,IF($C$2=27.5,'S3'!F178,IF($C$2=28.5,'S3'!G178,IF($C$2=29.5,'S3'!H178,IF($C$2=30.5,'S3'!I178,IF($C$2=31.5,'S3'!J178,IF($C$2=32.5,'S3'!K178,IF($C$2=33.5,'S3'!L178))))))))))))</f>
        <v>435.36</v>
      </c>
      <c r="D178" s="74">
        <f t="shared" si="11"/>
        <v>609.5</v>
      </c>
      <c r="E178" s="74">
        <f>IF($E$2=22.5,'S3'!Y178,IF($E$2=23.5,'S3'!Z178,IF($E$2=24.5,'S3'!AA178,IF($E$2=25.5,'S3'!AB178,IF($E$2=26.5,'S3'!AC178,IF($E$2=27.5,'S3'!AD178,IF($E$2=28.5,'S3'!AE178,IF($E$2=29.5,'S3'!AF178,IF($E$2=30.5,'S3'!AG178,IF($E$2=31.5,'S3'!AH178,IF($E$2=32.5,'S3'!AI178,IF($E$2=33.5,'S3'!AJ178))))))))))))</f>
        <v>271.23</v>
      </c>
      <c r="F178" s="74">
        <f t="shared" si="10"/>
        <v>379.72</v>
      </c>
    </row>
    <row r="179" spans="2:6">
      <c r="B179" s="148">
        <v>175</v>
      </c>
      <c r="C179" s="74">
        <f>IF($C$2=22.5,'S3'!A179,IF($C$2=23.5,'S3'!B179,IF($C$2=24.5,'S3'!C179,IF($C$2=25.5,'S3'!D179,IF($C$2=26.5,'S3'!E179,IF($C$2=27.5,'S3'!F179,IF($C$2=28.5,'S3'!G179,IF($C$2=29.5,'S3'!H179,IF($C$2=30.5,'S3'!I179,IF($C$2=31.5,'S3'!J179,IF($C$2=32.5,'S3'!K179,IF($C$2=33.5,'S3'!L179))))))))))))</f>
        <v>437.92</v>
      </c>
      <c r="D179" s="74">
        <f t="shared" si="11"/>
        <v>613.09</v>
      </c>
      <c r="E179" s="74">
        <f>IF($E$2=22.5,'S3'!Y179,IF($E$2=23.5,'S3'!Z179,IF($E$2=24.5,'S3'!AA179,IF($E$2=25.5,'S3'!AB179,IF($E$2=26.5,'S3'!AC179,IF($E$2=27.5,'S3'!AD179,IF($E$2=28.5,'S3'!AE179,IF($E$2=29.5,'S3'!AF179,IF($E$2=30.5,'S3'!AG179,IF($E$2=31.5,'S3'!AH179,IF($E$2=32.5,'S3'!AI179,IF($E$2=33.5,'S3'!AJ179))))))))))))</f>
        <v>272.8</v>
      </c>
      <c r="F179" s="74">
        <f t="shared" si="10"/>
        <v>381.92</v>
      </c>
    </row>
    <row r="180" spans="2:6">
      <c r="B180" s="148">
        <v>176</v>
      </c>
      <c r="C180" s="74">
        <f>IF($C$2=22.5,'S3'!A180,IF($C$2=23.5,'S3'!B180,IF($C$2=24.5,'S3'!C180,IF($C$2=25.5,'S3'!D180,IF($C$2=26.5,'S3'!E180,IF($C$2=27.5,'S3'!F180,IF($C$2=28.5,'S3'!G180,IF($C$2=29.5,'S3'!H180,IF($C$2=30.5,'S3'!I180,IF($C$2=31.5,'S3'!J180,IF($C$2=32.5,'S3'!K180,IF($C$2=33.5,'S3'!L180))))))))))))</f>
        <v>440.49</v>
      </c>
      <c r="D180" s="74">
        <f t="shared" si="11"/>
        <v>616.69000000000005</v>
      </c>
      <c r="E180" s="74">
        <f>IF($E$2=22.5,'S3'!Y180,IF($E$2=23.5,'S3'!Z180,IF($E$2=24.5,'S3'!AA180,IF($E$2=25.5,'S3'!AB180,IF($E$2=26.5,'S3'!AC180,IF($E$2=27.5,'S3'!AD180,IF($E$2=28.5,'S3'!AE180,IF($E$2=29.5,'S3'!AF180,IF($E$2=30.5,'S3'!AG180,IF($E$2=31.5,'S3'!AH180,IF($E$2=32.5,'S3'!AI180,IF($E$2=33.5,'S3'!AJ180))))))))))))</f>
        <v>274.38</v>
      </c>
      <c r="F180" s="74">
        <f t="shared" si="10"/>
        <v>384.13</v>
      </c>
    </row>
    <row r="181" spans="2:6">
      <c r="B181" s="148">
        <v>177</v>
      </c>
      <c r="C181" s="74">
        <f>IF($C$2=22.5,'S3'!A181,IF($C$2=23.5,'S3'!B181,IF($C$2=24.5,'S3'!C181,IF($C$2=25.5,'S3'!D181,IF($C$2=26.5,'S3'!E181,IF($C$2=27.5,'S3'!F181,IF($C$2=28.5,'S3'!G181,IF($C$2=29.5,'S3'!H181,IF($C$2=30.5,'S3'!I181,IF($C$2=31.5,'S3'!J181,IF($C$2=32.5,'S3'!K181,IF($C$2=33.5,'S3'!L181))))))))))))</f>
        <v>443.06</v>
      </c>
      <c r="D181" s="74">
        <f t="shared" si="11"/>
        <v>620.28</v>
      </c>
      <c r="E181" s="74">
        <f>IF($E$2=22.5,'S3'!Y181,IF($E$2=23.5,'S3'!Z181,IF($E$2=24.5,'S3'!AA181,IF($E$2=25.5,'S3'!AB181,IF($E$2=26.5,'S3'!AC181,IF($E$2=27.5,'S3'!AD181,IF($E$2=28.5,'S3'!AE181,IF($E$2=29.5,'S3'!AF181,IF($E$2=30.5,'S3'!AG181,IF($E$2=31.5,'S3'!AH181,IF($E$2=32.5,'S3'!AI181,IF($E$2=33.5,'S3'!AJ181))))))))))))</f>
        <v>275.95999999999998</v>
      </c>
      <c r="F181" s="74">
        <f t="shared" si="10"/>
        <v>386.34</v>
      </c>
    </row>
    <row r="182" spans="2:6">
      <c r="B182" s="148">
        <v>178</v>
      </c>
      <c r="C182" s="74">
        <f>IF($C$2=22.5,'S3'!A182,IF($C$2=23.5,'S3'!B182,IF($C$2=24.5,'S3'!C182,IF($C$2=25.5,'S3'!D182,IF($C$2=26.5,'S3'!E182,IF($C$2=27.5,'S3'!F182,IF($C$2=28.5,'S3'!G182,IF($C$2=29.5,'S3'!H182,IF($C$2=30.5,'S3'!I182,IF($C$2=31.5,'S3'!J182,IF($C$2=32.5,'S3'!K182,IF($C$2=33.5,'S3'!L182))))))))))))</f>
        <v>445.12</v>
      </c>
      <c r="D182" s="74">
        <f t="shared" si="11"/>
        <v>623.16999999999996</v>
      </c>
      <c r="E182" s="74">
        <f>IF($E$2=22.5,'S3'!Y182,IF($E$2=23.5,'S3'!Z182,IF($E$2=24.5,'S3'!AA182,IF($E$2=25.5,'S3'!AB182,IF($E$2=26.5,'S3'!AC182,IF($E$2=27.5,'S3'!AD182,IF($E$2=28.5,'S3'!AE182,IF($E$2=29.5,'S3'!AF182,IF($E$2=30.5,'S3'!AG182,IF($E$2=31.5,'S3'!AH182,IF($E$2=32.5,'S3'!AI182,IF($E$2=33.5,'S3'!AJ182))))))))))))</f>
        <v>277.54000000000002</v>
      </c>
      <c r="F182" s="74">
        <f t="shared" si="10"/>
        <v>388.56</v>
      </c>
    </row>
    <row r="183" spans="2:6">
      <c r="B183" s="148">
        <v>179</v>
      </c>
      <c r="C183" s="74">
        <f>IF($C$2=22.5,'S3'!A183,IF($C$2=23.5,'S3'!B183,IF($C$2=24.5,'S3'!C183,IF($C$2=25.5,'S3'!D183,IF($C$2=26.5,'S3'!E183,IF($C$2=27.5,'S3'!F183,IF($C$2=28.5,'S3'!G183,IF($C$2=29.5,'S3'!H183,IF($C$2=30.5,'S3'!I183,IF($C$2=31.5,'S3'!J183,IF($C$2=32.5,'S3'!K183,IF($C$2=33.5,'S3'!L183))))))))))))</f>
        <v>447.7</v>
      </c>
      <c r="D183" s="74">
        <f t="shared" si="11"/>
        <v>626.78</v>
      </c>
      <c r="E183" s="74">
        <f>IF($E$2=22.5,'S3'!Y183,IF($E$2=23.5,'S3'!Z183,IF($E$2=24.5,'S3'!AA183,IF($E$2=25.5,'S3'!AB183,IF($E$2=26.5,'S3'!AC183,IF($E$2=27.5,'S3'!AD183,IF($E$2=28.5,'S3'!AE183,IF($E$2=29.5,'S3'!AF183,IF($E$2=30.5,'S3'!AG183,IF($E$2=31.5,'S3'!AH183,IF($E$2=32.5,'S3'!AI183,IF($E$2=33.5,'S3'!AJ183))))))))))))</f>
        <v>278.98</v>
      </c>
      <c r="F183" s="74">
        <f t="shared" si="10"/>
        <v>390.57</v>
      </c>
    </row>
    <row r="184" spans="2:6">
      <c r="B184" s="148">
        <v>180</v>
      </c>
      <c r="C184" s="74">
        <f>IF($C$2=22.5,'S3'!A184,IF($C$2=23.5,'S3'!B184,IF($C$2=24.5,'S3'!C184,IF($C$2=25.5,'S3'!D184,IF($C$2=26.5,'S3'!E184,IF($C$2=27.5,'S3'!F184,IF($C$2=28.5,'S3'!G184,IF($C$2=29.5,'S3'!H184,IF($C$2=30.5,'S3'!I184,IF($C$2=31.5,'S3'!J184,IF($C$2=32.5,'S3'!K184,IF($C$2=33.5,'S3'!L184))))))))))))</f>
        <v>450.29</v>
      </c>
      <c r="D184" s="74">
        <f t="shared" si="11"/>
        <v>630.41</v>
      </c>
      <c r="E184" s="74">
        <f>IF($E$2=22.5,'S3'!Y184,IF($E$2=23.5,'S3'!Z184,IF($E$2=24.5,'S3'!AA184,IF($E$2=25.5,'S3'!AB184,IF($E$2=26.5,'S3'!AC184,IF($E$2=27.5,'S3'!AD184,IF($E$2=28.5,'S3'!AE184,IF($E$2=29.5,'S3'!AF184,IF($E$2=30.5,'S3'!AG184,IF($E$2=31.5,'S3'!AH184,IF($E$2=32.5,'S3'!AI184,IF($E$2=33.5,'S3'!AJ184))))))))))))</f>
        <v>280.57</v>
      </c>
      <c r="F184" s="74">
        <f t="shared" si="10"/>
        <v>392.8</v>
      </c>
    </row>
    <row r="185" spans="2:6">
      <c r="B185" s="148">
        <v>181</v>
      </c>
      <c r="C185" s="74">
        <f>IF($C$2=22.5,'S3'!A185,IF($C$2=23.5,'S3'!B185,IF($C$2=24.5,'S3'!C185,IF($C$2=25.5,'S3'!D185,IF($C$2=26.5,'S3'!E185,IF($C$2=27.5,'S3'!F185,IF($C$2=28.5,'S3'!G185,IF($C$2=29.5,'S3'!H185,IF($C$2=30.5,'S3'!I185,IF($C$2=31.5,'S3'!J185,IF($C$2=32.5,'S3'!K185,IF($C$2=33.5,'S3'!L185))))))))))))</f>
        <v>452.88</v>
      </c>
      <c r="D185" s="74">
        <f t="shared" si="11"/>
        <v>634.03</v>
      </c>
      <c r="E185" s="74">
        <f>IF($E$2=22.5,'S3'!Y185,IF($E$2=23.5,'S3'!Z185,IF($E$2=24.5,'S3'!AA185,IF($E$2=25.5,'S3'!AB185,IF($E$2=26.5,'S3'!AC185,IF($E$2=27.5,'S3'!AD185,IF($E$2=28.5,'S3'!AE185,IF($E$2=29.5,'S3'!AF185,IF($E$2=30.5,'S3'!AG185,IF($E$2=31.5,'S3'!AH185,IF($E$2=32.5,'S3'!AI185,IF($E$2=33.5,'S3'!AJ185))))))))))))</f>
        <v>282.14999999999998</v>
      </c>
      <c r="F185" s="74">
        <f t="shared" si="10"/>
        <v>395.01</v>
      </c>
    </row>
    <row r="186" spans="2:6">
      <c r="B186" s="148">
        <v>182</v>
      </c>
      <c r="C186" s="74">
        <f>IF($C$2=22.5,'S3'!A186,IF($C$2=23.5,'S3'!B186,IF($C$2=24.5,'S3'!C186,IF($C$2=25.5,'S3'!D186,IF($C$2=26.5,'S3'!E186,IF($C$2=27.5,'S3'!F186,IF($C$2=28.5,'S3'!G186,IF($C$2=29.5,'S3'!H186,IF($C$2=30.5,'S3'!I186,IF($C$2=31.5,'S3'!J186,IF($C$2=32.5,'S3'!K186,IF($C$2=33.5,'S3'!L186))))))))))))</f>
        <v>455.48</v>
      </c>
      <c r="D186" s="74">
        <f t="shared" si="11"/>
        <v>637.66999999999996</v>
      </c>
      <c r="E186" s="74">
        <f>IF($E$2=22.5,'S3'!Y186,IF($E$2=23.5,'S3'!Z186,IF($E$2=24.5,'S3'!AA186,IF($E$2=25.5,'S3'!AB186,IF($E$2=26.5,'S3'!AC186,IF($E$2=27.5,'S3'!AD186,IF($E$2=28.5,'S3'!AE186,IF($E$2=29.5,'S3'!AF186,IF($E$2=30.5,'S3'!AG186,IF($E$2=31.5,'S3'!AH186,IF($E$2=32.5,'S3'!AI186,IF($E$2=33.5,'S3'!AJ186))))))))))))</f>
        <v>283.74</v>
      </c>
      <c r="F186" s="74">
        <f t="shared" si="10"/>
        <v>397.24</v>
      </c>
    </row>
    <row r="187" spans="2:6">
      <c r="B187" s="148">
        <v>183</v>
      </c>
      <c r="C187" s="74">
        <f>IF($C$2=22.5,'S3'!A187,IF($C$2=23.5,'S3'!B187,IF($C$2=24.5,'S3'!C187,IF($C$2=25.5,'S3'!D187,IF($C$2=26.5,'S3'!E187,IF($C$2=27.5,'S3'!F187,IF($C$2=28.5,'S3'!G187,IF($C$2=29.5,'S3'!H187,IF($C$2=30.5,'S3'!I187,IF($C$2=31.5,'S3'!J187,IF($C$2=32.5,'S3'!K187,IF($C$2=33.5,'S3'!L187))))))))))))</f>
        <v>458.09</v>
      </c>
      <c r="D187" s="74">
        <f t="shared" si="11"/>
        <v>641.33000000000004</v>
      </c>
      <c r="E187" s="74">
        <f>IF($E$2=22.5,'S3'!Y187,IF($E$2=23.5,'S3'!Z187,IF($E$2=24.5,'S3'!AA187,IF($E$2=25.5,'S3'!AB187,IF($E$2=26.5,'S3'!AC187,IF($E$2=27.5,'S3'!AD187,IF($E$2=28.5,'S3'!AE187,IF($E$2=29.5,'S3'!AF187,IF($E$2=30.5,'S3'!AG187,IF($E$2=31.5,'S3'!AH187,IF($E$2=32.5,'S3'!AI187,IF($E$2=33.5,'S3'!AJ187))))))))))))</f>
        <v>285.33</v>
      </c>
      <c r="F187" s="74">
        <f t="shared" si="10"/>
        <v>399.46</v>
      </c>
    </row>
    <row r="188" spans="2:6">
      <c r="B188" s="148">
        <v>184</v>
      </c>
      <c r="C188" s="74">
        <f>IF($C$2=22.5,'S3'!A188,IF($C$2=23.5,'S3'!B188,IF($C$2=24.5,'S3'!C188,IF($C$2=25.5,'S3'!D188,IF($C$2=26.5,'S3'!E188,IF($C$2=27.5,'S3'!F188,IF($C$2=28.5,'S3'!G188,IF($C$2=29.5,'S3'!H188,IF($C$2=30.5,'S3'!I188,IF($C$2=31.5,'S3'!J188,IF($C$2=32.5,'S3'!K188,IF($C$2=33.5,'S3'!L188))))))))))))</f>
        <v>460.15</v>
      </c>
      <c r="D188" s="74">
        <f t="shared" si="11"/>
        <v>644.21</v>
      </c>
      <c r="E188" s="74">
        <f>IF($E$2=22.5,'S3'!Y188,IF($E$2=23.5,'S3'!Z188,IF($E$2=24.5,'S3'!AA188,IF($E$2=25.5,'S3'!AB188,IF($E$2=26.5,'S3'!AC188,IF($E$2=27.5,'S3'!AD188,IF($E$2=28.5,'S3'!AE188,IF($E$2=29.5,'S3'!AF188,IF($E$2=30.5,'S3'!AG188,IF($E$2=31.5,'S3'!AH188,IF($E$2=32.5,'S3'!AI188,IF($E$2=33.5,'S3'!AJ188))))))))))))</f>
        <v>286.77</v>
      </c>
      <c r="F188" s="74">
        <f t="shared" si="10"/>
        <v>401.48</v>
      </c>
    </row>
    <row r="189" spans="2:6">
      <c r="B189" s="148">
        <v>185</v>
      </c>
      <c r="C189" s="74">
        <f>IF($C$2=22.5,'S3'!A189,IF($C$2=23.5,'S3'!B189,IF($C$2=24.5,'S3'!C189,IF($C$2=25.5,'S3'!D189,IF($C$2=26.5,'S3'!E189,IF($C$2=27.5,'S3'!F189,IF($C$2=28.5,'S3'!G189,IF($C$2=29.5,'S3'!H189,IF($C$2=30.5,'S3'!I189,IF($C$2=31.5,'S3'!J189,IF($C$2=32.5,'S3'!K189,IF($C$2=33.5,'S3'!L189))))))))))))</f>
        <v>462.76</v>
      </c>
      <c r="D189" s="74">
        <f t="shared" si="11"/>
        <v>647.86</v>
      </c>
      <c r="E189" s="74">
        <f>IF($E$2=22.5,'S3'!Y189,IF($E$2=23.5,'S3'!Z189,IF($E$2=24.5,'S3'!AA189,IF($E$2=25.5,'S3'!AB189,IF($E$2=26.5,'S3'!AC189,IF($E$2=27.5,'S3'!AD189,IF($E$2=28.5,'S3'!AE189,IF($E$2=29.5,'S3'!AF189,IF($E$2=30.5,'S3'!AG189,IF($E$2=31.5,'S3'!AH189,IF($E$2=32.5,'S3'!AI189,IF($E$2=33.5,'S3'!AJ189))))))))))))</f>
        <v>288.36</v>
      </c>
      <c r="F189" s="74">
        <f t="shared" si="10"/>
        <v>403.7</v>
      </c>
    </row>
    <row r="190" spans="2:6">
      <c r="B190" s="148">
        <v>186</v>
      </c>
      <c r="C190" s="74">
        <f>IF($C$2=22.5,'S3'!A190,IF($C$2=23.5,'S3'!B190,IF($C$2=24.5,'S3'!C190,IF($C$2=25.5,'S3'!D190,IF($C$2=26.5,'S3'!E190,IF($C$2=27.5,'S3'!F190,IF($C$2=28.5,'S3'!G190,IF($C$2=29.5,'S3'!H190,IF($C$2=30.5,'S3'!I190,IF($C$2=31.5,'S3'!J190,IF($C$2=32.5,'S3'!K190,IF($C$2=33.5,'S3'!L190))))))))))))</f>
        <v>465.39</v>
      </c>
      <c r="D190" s="74">
        <f t="shared" si="11"/>
        <v>651.54999999999995</v>
      </c>
      <c r="E190" s="74">
        <f>IF($E$2=22.5,'S3'!Y190,IF($E$2=23.5,'S3'!Z190,IF($E$2=24.5,'S3'!AA190,IF($E$2=25.5,'S3'!AB190,IF($E$2=26.5,'S3'!AC190,IF($E$2=27.5,'S3'!AD190,IF($E$2=28.5,'S3'!AE190,IF($E$2=29.5,'S3'!AF190,IF($E$2=30.5,'S3'!AG190,IF($E$2=31.5,'S3'!AH190,IF($E$2=32.5,'S3'!AI190,IF($E$2=33.5,'S3'!AJ190))))))))))))</f>
        <v>289.95</v>
      </c>
      <c r="F190" s="74">
        <f t="shared" si="10"/>
        <v>405.93</v>
      </c>
    </row>
    <row r="191" spans="2:6">
      <c r="B191" s="148">
        <v>187</v>
      </c>
      <c r="C191" s="74">
        <f>IF($C$2=22.5,'S3'!A191,IF($C$2=23.5,'S3'!B191,IF($C$2=24.5,'S3'!C191,IF($C$2=25.5,'S3'!D191,IF($C$2=26.5,'S3'!E191,IF($C$2=27.5,'S3'!F191,IF($C$2=28.5,'S3'!G191,IF($C$2=29.5,'S3'!H191,IF($C$2=30.5,'S3'!I191,IF($C$2=31.5,'S3'!J191,IF($C$2=32.5,'S3'!K191,IF($C$2=33.5,'S3'!L191))))))))))))</f>
        <v>468.02</v>
      </c>
      <c r="D191" s="74">
        <f t="shared" si="11"/>
        <v>655.23</v>
      </c>
      <c r="E191" s="74">
        <f>IF($E$2=22.5,'S3'!Y191,IF($E$2=23.5,'S3'!Z191,IF($E$2=24.5,'S3'!AA191,IF($E$2=25.5,'S3'!AB191,IF($E$2=26.5,'S3'!AC191,IF($E$2=27.5,'S3'!AD191,IF($E$2=28.5,'S3'!AE191,IF($E$2=29.5,'S3'!AF191,IF($E$2=30.5,'S3'!AG191,IF($E$2=31.5,'S3'!AH191,IF($E$2=32.5,'S3'!AI191,IF($E$2=33.5,'S3'!AJ191))))))))))))</f>
        <v>291.55</v>
      </c>
      <c r="F191" s="74">
        <f t="shared" si="10"/>
        <v>408.17</v>
      </c>
    </row>
    <row r="192" spans="2:6">
      <c r="B192" s="148">
        <v>188</v>
      </c>
      <c r="C192" s="74">
        <f>IF($C$2=22.5,'S3'!A192,IF($C$2=23.5,'S3'!B192,IF($C$2=24.5,'S3'!C192,IF($C$2=25.5,'S3'!D192,IF($C$2=26.5,'S3'!E192,IF($C$2=27.5,'S3'!F192,IF($C$2=28.5,'S3'!G192,IF($C$2=29.5,'S3'!H192,IF($C$2=30.5,'S3'!I192,IF($C$2=31.5,'S3'!J192,IF($C$2=32.5,'S3'!K192,IF($C$2=33.5,'S3'!L192))))))))))))</f>
        <v>470.07</v>
      </c>
      <c r="D192" s="74">
        <f t="shared" si="11"/>
        <v>658.1</v>
      </c>
      <c r="E192" s="74">
        <f>IF($E$2=22.5,'S3'!Y192,IF($E$2=23.5,'S3'!Z192,IF($E$2=24.5,'S3'!AA192,IF($E$2=25.5,'S3'!AB192,IF($E$2=26.5,'S3'!AC192,IF($E$2=27.5,'S3'!AD192,IF($E$2=28.5,'S3'!AE192,IF($E$2=29.5,'S3'!AF192,IF($E$2=30.5,'S3'!AG192,IF($E$2=31.5,'S3'!AH192,IF($E$2=32.5,'S3'!AI192,IF($E$2=33.5,'S3'!AJ192))))))))))))</f>
        <v>292.99</v>
      </c>
      <c r="F192" s="74">
        <f t="shared" si="10"/>
        <v>410.19</v>
      </c>
    </row>
    <row r="193" spans="2:6">
      <c r="B193" s="148">
        <v>189</v>
      </c>
      <c r="C193" s="74">
        <f>IF($C$2=22.5,'S3'!A193,IF($C$2=23.5,'S3'!B193,IF($C$2=24.5,'S3'!C193,IF($C$2=25.5,'S3'!D193,IF($C$2=26.5,'S3'!E193,IF($C$2=27.5,'S3'!F193,IF($C$2=28.5,'S3'!G193,IF($C$2=29.5,'S3'!H193,IF($C$2=30.5,'S3'!I193,IF($C$2=31.5,'S3'!J193,IF($C$2=32.5,'S3'!K193,IF($C$2=33.5,'S3'!L193))))))))))))</f>
        <v>472.72</v>
      </c>
      <c r="D193" s="74">
        <f t="shared" si="11"/>
        <v>661.81</v>
      </c>
      <c r="E193" s="74">
        <f>IF($E$2=22.5,'S3'!Y193,IF($E$2=23.5,'S3'!Z193,IF($E$2=24.5,'S3'!AA193,IF($E$2=25.5,'S3'!AB193,IF($E$2=26.5,'S3'!AC193,IF($E$2=27.5,'S3'!AD193,IF($E$2=28.5,'S3'!AE193,IF($E$2=29.5,'S3'!AF193,IF($E$2=30.5,'S3'!AG193,IF($E$2=31.5,'S3'!AH193,IF($E$2=32.5,'S3'!AI193,IF($E$2=33.5,'S3'!AJ193))))))))))))</f>
        <v>294.58999999999997</v>
      </c>
      <c r="F193" s="74">
        <f t="shared" si="10"/>
        <v>412.43</v>
      </c>
    </row>
    <row r="194" spans="2:6">
      <c r="B194" s="148">
        <v>190</v>
      </c>
      <c r="C194" s="74">
        <f>IF($C$2=22.5,'S3'!A194,IF($C$2=23.5,'S3'!B194,IF($C$2=24.5,'S3'!C194,IF($C$2=25.5,'S3'!D194,IF($C$2=26.5,'S3'!E194,IF($C$2=27.5,'S3'!F194,IF($C$2=28.5,'S3'!G194,IF($C$2=29.5,'S3'!H194,IF($C$2=30.5,'S3'!I194,IF($C$2=31.5,'S3'!J194,IF($C$2=32.5,'S3'!K194,IF($C$2=33.5,'S3'!L194))))))))))))</f>
        <v>475.36</v>
      </c>
      <c r="D194" s="74">
        <f t="shared" si="11"/>
        <v>665.5</v>
      </c>
      <c r="E194" s="74">
        <f>IF($E$2=22.5,'S3'!Y194,IF($E$2=23.5,'S3'!Z194,IF($E$2=24.5,'S3'!AA194,IF($E$2=25.5,'S3'!AB194,IF($E$2=26.5,'S3'!AC194,IF($E$2=27.5,'S3'!AD194,IF($E$2=28.5,'S3'!AE194,IF($E$2=29.5,'S3'!AF194,IF($E$2=30.5,'S3'!AG194,IF($E$2=31.5,'S3'!AH194,IF($E$2=32.5,'S3'!AI194,IF($E$2=33.5,'S3'!AJ194))))))))))))</f>
        <v>296.19</v>
      </c>
      <c r="F194" s="74">
        <f t="shared" si="10"/>
        <v>414.67</v>
      </c>
    </row>
    <row r="195" spans="2:6">
      <c r="B195" s="148">
        <v>191</v>
      </c>
      <c r="C195" s="74">
        <f>IF($C$2=22.5,'S3'!A195,IF($C$2=23.5,'S3'!B195,IF($C$2=24.5,'S3'!C195,IF($C$2=25.5,'S3'!D195,IF($C$2=26.5,'S3'!E195,IF($C$2=27.5,'S3'!F195,IF($C$2=28.5,'S3'!G195,IF($C$2=29.5,'S3'!H195,IF($C$2=30.5,'S3'!I195,IF($C$2=31.5,'S3'!J195,IF($C$2=32.5,'S3'!K195,IF($C$2=33.5,'S3'!L195))))))))))))</f>
        <v>478.02</v>
      </c>
      <c r="D195" s="74">
        <f t="shared" si="11"/>
        <v>669.23</v>
      </c>
      <c r="E195" s="74">
        <f>IF($E$2=22.5,'S3'!Y195,IF($E$2=23.5,'S3'!Z195,IF($E$2=24.5,'S3'!AA195,IF($E$2=25.5,'S3'!AB195,IF($E$2=26.5,'S3'!AC195,IF($E$2=27.5,'S3'!AD195,IF($E$2=28.5,'S3'!AE195,IF($E$2=29.5,'S3'!AF195,IF($E$2=30.5,'S3'!AG195,IF($E$2=31.5,'S3'!AH195,IF($E$2=32.5,'S3'!AI195,IF($E$2=33.5,'S3'!AJ195))))))))))))</f>
        <v>297.79000000000002</v>
      </c>
      <c r="F195" s="74">
        <f t="shared" si="10"/>
        <v>416.91</v>
      </c>
    </row>
    <row r="196" spans="2:6">
      <c r="B196" s="148">
        <v>192</v>
      </c>
      <c r="C196" s="74">
        <f>IF($C$2=22.5,'S3'!A196,IF($C$2=23.5,'S3'!B196,IF($C$2=24.5,'S3'!C196,IF($C$2=25.5,'S3'!D196,IF($C$2=26.5,'S3'!E196,IF($C$2=27.5,'S3'!F196,IF($C$2=28.5,'S3'!G196,IF($C$2=29.5,'S3'!H196,IF($C$2=30.5,'S3'!I196,IF($C$2=31.5,'S3'!J196,IF($C$2=32.5,'S3'!K196,IF($C$2=33.5,'S3'!L196))))))))))))</f>
        <v>480.08</v>
      </c>
      <c r="D196" s="74">
        <f t="shared" si="11"/>
        <v>672.11</v>
      </c>
      <c r="E196" s="74">
        <f>IF($E$2=22.5,'S3'!Y196,IF($E$2=23.5,'S3'!Z196,IF($E$2=24.5,'S3'!AA196,IF($E$2=25.5,'S3'!AB196,IF($E$2=26.5,'S3'!AC196,IF($E$2=27.5,'S3'!AD196,IF($E$2=28.5,'S3'!AE196,IF($E$2=29.5,'S3'!AF196,IF($E$2=30.5,'S3'!AG196,IF($E$2=31.5,'S3'!AH196,IF($E$2=32.5,'S3'!AI196,IF($E$2=33.5,'S3'!AJ196))))))))))))</f>
        <v>299.23</v>
      </c>
      <c r="F196" s="74">
        <f t="shared" si="10"/>
        <v>418.92</v>
      </c>
    </row>
    <row r="197" spans="2:6">
      <c r="B197" s="148">
        <v>193</v>
      </c>
      <c r="C197" s="74">
        <f>IF($C$2=22.5,'S3'!A197,IF($C$2=23.5,'S3'!B197,IF($C$2=24.5,'S3'!C197,IF($C$2=25.5,'S3'!D197,IF($C$2=26.5,'S3'!E197,IF($C$2=27.5,'S3'!F197,IF($C$2=28.5,'S3'!G197,IF($C$2=29.5,'S3'!H197,IF($C$2=30.5,'S3'!I197,IF($C$2=31.5,'S3'!J197,IF($C$2=32.5,'S3'!K197,IF($C$2=33.5,'S3'!L197))))))))))))</f>
        <v>482.42</v>
      </c>
      <c r="D197" s="74">
        <f t="shared" si="11"/>
        <v>675.39</v>
      </c>
      <c r="E197" s="74">
        <f>IF($E$2=22.5,'S3'!Y197,IF($E$2=23.5,'S3'!Z197,IF($E$2=24.5,'S3'!AA197,IF($E$2=25.5,'S3'!AB197,IF($E$2=26.5,'S3'!AC197,IF($E$2=27.5,'S3'!AD197,IF($E$2=28.5,'S3'!AE197,IF($E$2=29.5,'S3'!AF197,IF($E$2=30.5,'S3'!AG197,IF($E$2=31.5,'S3'!AH197,IF($E$2=32.5,'S3'!AI197,IF($E$2=33.5,'S3'!AJ197))))))))))))</f>
        <v>300.83</v>
      </c>
      <c r="F197" s="74">
        <f t="shared" si="10"/>
        <v>421.16</v>
      </c>
    </row>
    <row r="198" spans="2:6">
      <c r="B198" s="148">
        <v>194</v>
      </c>
      <c r="C198" s="74">
        <f>IF($C$2=22.5,'S3'!A198,IF($C$2=23.5,'S3'!B198,IF($C$2=24.5,'S3'!C198,IF($C$2=25.5,'S3'!D198,IF($C$2=26.5,'S3'!E198,IF($C$2=27.5,'S3'!F198,IF($C$2=28.5,'S3'!G198,IF($C$2=29.5,'S3'!H198,IF($C$2=30.5,'S3'!I198,IF($C$2=31.5,'S3'!J198,IF($C$2=32.5,'S3'!K198,IF($C$2=33.5,'S3'!L198))))))))))))</f>
        <v>485.42</v>
      </c>
      <c r="D198" s="74">
        <f t="shared" si="11"/>
        <v>679.59</v>
      </c>
      <c r="E198" s="74">
        <f>IF($E$2=22.5,'S3'!Y198,IF($E$2=23.5,'S3'!Z198,IF($E$2=24.5,'S3'!AA198,IF($E$2=25.5,'S3'!AB198,IF($E$2=26.5,'S3'!AC198,IF($E$2=27.5,'S3'!AD198,IF($E$2=28.5,'S3'!AE198,IF($E$2=29.5,'S3'!AF198,IF($E$2=30.5,'S3'!AG198,IF($E$2=31.5,'S3'!AH198,IF($E$2=32.5,'S3'!AI198,IF($E$2=33.5,'S3'!AJ198))))))))))))</f>
        <v>302.44</v>
      </c>
      <c r="F198" s="74">
        <f t="shared" ref="F198:F204" si="12">ROUND(E198*1.4,2)</f>
        <v>423.42</v>
      </c>
    </row>
    <row r="199" spans="2:6">
      <c r="B199" s="148">
        <v>195</v>
      </c>
      <c r="C199" s="74">
        <f>IF($C$2=22.5,'S3'!A199,IF($C$2=23.5,'S3'!B199,IF($C$2=24.5,'S3'!C199,IF($C$2=25.5,'S3'!D199,IF($C$2=26.5,'S3'!E199,IF($C$2=27.5,'S3'!F199,IF($C$2=28.5,'S3'!G199,IF($C$2=29.5,'S3'!H199,IF($C$2=30.5,'S3'!I199,IF($C$2=31.5,'S3'!J199,IF($C$2=32.5,'S3'!K199,IF($C$2=33.5,'S3'!L199))))))))))))</f>
        <v>488.1</v>
      </c>
      <c r="D199" s="74">
        <f t="shared" ref="D199:D204" si="13">ROUND(C199*1.4,2)</f>
        <v>683.34</v>
      </c>
      <c r="E199" s="74">
        <f>IF($E$2=22.5,'S3'!Y199,IF($E$2=23.5,'S3'!Z199,IF($E$2=24.5,'S3'!AA199,IF($E$2=25.5,'S3'!AB199,IF($E$2=26.5,'S3'!AC199,IF($E$2=27.5,'S3'!AD199,IF($E$2=28.5,'S3'!AE199,IF($E$2=29.5,'S3'!AF199,IF($E$2=30.5,'S3'!AG199,IF($E$2=31.5,'S3'!AH199,IF($E$2=32.5,'S3'!AI199,IF($E$2=33.5,'S3'!AJ199))))))))))))</f>
        <v>303.88</v>
      </c>
      <c r="F199" s="74">
        <f t="shared" si="12"/>
        <v>425.43</v>
      </c>
    </row>
    <row r="200" spans="2:6">
      <c r="B200" s="148">
        <v>196</v>
      </c>
      <c r="C200" s="74">
        <f>IF($C$2=22.5,'S3'!A200,IF($C$2=23.5,'S3'!B200,IF($C$2=24.5,'S3'!C200,IF($C$2=25.5,'S3'!D200,IF($C$2=26.5,'S3'!E200,IF($C$2=27.5,'S3'!F200,IF($C$2=28.5,'S3'!G200,IF($C$2=29.5,'S3'!H200,IF($C$2=30.5,'S3'!I200,IF($C$2=31.5,'S3'!J200,IF($C$2=32.5,'S3'!K200,IF($C$2=33.5,'S3'!L200))))))))))))</f>
        <v>490.16</v>
      </c>
      <c r="D200" s="74">
        <f t="shared" si="13"/>
        <v>686.22</v>
      </c>
      <c r="E200" s="74">
        <f>IF($E$2=22.5,'S3'!Y200,IF($E$2=23.5,'S3'!Z200,IF($E$2=24.5,'S3'!AA200,IF($E$2=25.5,'S3'!AB200,IF($E$2=26.5,'S3'!AC200,IF($E$2=27.5,'S3'!AD200,IF($E$2=28.5,'S3'!AE200,IF($E$2=29.5,'S3'!AF200,IF($E$2=30.5,'S3'!AG200,IF($E$2=31.5,'S3'!AH200,IF($E$2=32.5,'S3'!AI200,IF($E$2=33.5,'S3'!AJ200))))))))))))</f>
        <v>305.49</v>
      </c>
      <c r="F200" s="74">
        <f t="shared" si="12"/>
        <v>427.69</v>
      </c>
    </row>
    <row r="201" spans="2:6">
      <c r="B201" s="148">
        <v>197</v>
      </c>
      <c r="C201" s="74">
        <f>IF($C$2=22.5,'S3'!A201,IF($C$2=23.5,'S3'!B201,IF($C$2=24.5,'S3'!C201,IF($C$2=25.5,'S3'!D201,IF($C$2=26.5,'S3'!E201,IF($C$2=27.5,'S3'!F201,IF($C$2=28.5,'S3'!G201,IF($C$2=29.5,'S3'!H201,IF($C$2=30.5,'S3'!I201,IF($C$2=31.5,'S3'!J201,IF($C$2=32.5,'S3'!K201,IF($C$2=33.5,'S3'!L201))))))))))))</f>
        <v>492.85</v>
      </c>
      <c r="D201" s="74">
        <f t="shared" si="13"/>
        <v>689.99</v>
      </c>
      <c r="E201" s="74">
        <f>IF($E$2=22.5,'S3'!Y201,IF($E$2=23.5,'S3'!Z201,IF($E$2=24.5,'S3'!AA201,IF($E$2=25.5,'S3'!AB201,IF($E$2=26.5,'S3'!AC201,IF($E$2=27.5,'S3'!AD201,IF($E$2=28.5,'S3'!AE201,IF($E$2=29.5,'S3'!AF201,IF($E$2=30.5,'S3'!AG201,IF($E$2=31.5,'S3'!AH201,IF($E$2=32.5,'S3'!AI201,IF($E$2=33.5,'S3'!AJ201))))))))))))</f>
        <v>307.10000000000002</v>
      </c>
      <c r="F201" s="74">
        <f t="shared" si="12"/>
        <v>429.94</v>
      </c>
    </row>
    <row r="202" spans="2:6">
      <c r="B202" s="148">
        <v>198</v>
      </c>
      <c r="C202" s="74">
        <f>IF($C$2=22.5,'S3'!A202,IF($C$2=23.5,'S3'!B202,IF($C$2=24.5,'S3'!C202,IF($C$2=25.5,'S3'!D202,IF($C$2=26.5,'S3'!E202,IF($C$2=27.5,'S3'!F202,IF($C$2=28.5,'S3'!G202,IF($C$2=29.5,'S3'!H202,IF($C$2=30.5,'S3'!I202,IF($C$2=31.5,'S3'!J202,IF($C$2=32.5,'S3'!K202,IF($C$2=33.5,'S3'!L202))))))))))))</f>
        <v>495.55</v>
      </c>
      <c r="D202" s="74">
        <f t="shared" si="13"/>
        <v>693.77</v>
      </c>
      <c r="E202" s="74">
        <f>IF($E$2=22.5,'S3'!Y202,IF($E$2=23.5,'S3'!Z202,IF($E$2=24.5,'S3'!AA202,IF($E$2=25.5,'S3'!AB202,IF($E$2=26.5,'S3'!AC202,IF($E$2=27.5,'S3'!AD202,IF($E$2=28.5,'S3'!AE202,IF($E$2=29.5,'S3'!AF202,IF($E$2=30.5,'S3'!AG202,IF($E$2=31.5,'S3'!AH202,IF($E$2=32.5,'S3'!AI202,IF($E$2=33.5,'S3'!AJ202))))))))))))</f>
        <v>308.54000000000002</v>
      </c>
      <c r="F202" s="74">
        <f t="shared" si="12"/>
        <v>431.96</v>
      </c>
    </row>
    <row r="203" spans="2:6">
      <c r="B203" s="148">
        <v>199</v>
      </c>
      <c r="C203" s="74">
        <f>IF($C$2=22.5,'S3'!A203,IF($C$2=23.5,'S3'!B203,IF($C$2=24.5,'S3'!C203,IF($C$2=25.5,'S3'!D203,IF($C$2=26.5,'S3'!E203,IF($C$2=27.5,'S3'!F203,IF($C$2=28.5,'S3'!G203,IF($C$2=29.5,'S3'!H203,IF($C$2=30.5,'S3'!I203,IF($C$2=31.5,'S3'!J203,IF($C$2=32.5,'S3'!K203,IF($C$2=33.5,'S3'!L203))))))))))))</f>
        <v>497.6</v>
      </c>
      <c r="D203" s="74">
        <f t="shared" si="13"/>
        <v>696.64</v>
      </c>
      <c r="E203" s="74">
        <f>IF($E$2=22.5,'S3'!Y203,IF($E$2=23.5,'S3'!Z203,IF($E$2=24.5,'S3'!AA203,IF($E$2=25.5,'S3'!AB203,IF($E$2=26.5,'S3'!AC203,IF($E$2=27.5,'S3'!AD203,IF($E$2=28.5,'S3'!AE203,IF($E$2=29.5,'S3'!AF203,IF($E$2=30.5,'S3'!AG203,IF($E$2=31.5,'S3'!AH203,IF($E$2=32.5,'S3'!AI203,IF($E$2=33.5,'S3'!AJ203))))))))))))</f>
        <v>310.16000000000003</v>
      </c>
      <c r="F203" s="74">
        <f t="shared" si="12"/>
        <v>434.22</v>
      </c>
    </row>
    <row r="204" spans="2:6">
      <c r="B204" s="149">
        <v>200</v>
      </c>
      <c r="C204" s="83">
        <f>IF($C$2=22.5,'S3'!A204,IF($C$2=23.5,'S3'!B204,IF($C$2=24.5,'S3'!C204,IF($C$2=25.5,'S3'!D204,IF($C$2=26.5,'S3'!E204,IF($C$2=27.5,'S3'!F204,IF($C$2=28.5,'S3'!G204,IF($C$2=29.5,'S3'!H204,IF($C$2=30.5,'S3'!I204,IF($C$2=31.5,'S3'!J204,IF($C$2=32.5,'S3'!K204,IF($C$2=33.5,'S3'!L204))))))))))))</f>
        <v>500.32</v>
      </c>
      <c r="D204" s="83">
        <f t="shared" si="13"/>
        <v>700.45</v>
      </c>
      <c r="E204" s="83">
        <f>IF($E$2=22.5,'S3'!Y204,IF($E$2=23.5,'S3'!Z204,IF($E$2=24.5,'S3'!AA204,IF($E$2=25.5,'S3'!AB204,IF($E$2=26.5,'S3'!AC204,IF($E$2=27.5,'S3'!AD204,IF($E$2=28.5,'S3'!AE204,IF($E$2=29.5,'S3'!AF204,IF($E$2=30.5,'S3'!AG204,IF($E$2=31.5,'S3'!AH204,IF($E$2=32.5,'S3'!AI204,IF($E$2=33.5,'S3'!AJ204))))))))))))</f>
        <v>311.77</v>
      </c>
      <c r="F204" s="83">
        <f t="shared" si="12"/>
        <v>436.48</v>
      </c>
    </row>
    <row r="205" spans="2:6" ht="21" thickBot="1">
      <c r="B205" s="82"/>
      <c r="C205" s="75">
        <f>IF($C$2=22.5,'S3'!A205,IF($C$2=23.5,'S3'!B205,IF($C$2=24.5,'S3'!C205,IF($C$2=25.5,'S3'!D205,IF($C$2=26.5,'S3'!E205,IF($C$2=27.5,'S3'!F205,IF($C$2=28.5,'S3'!G205,IF($C$2=29.5,'S3'!H205,IF($C$2=30.5,'S3'!I205,IF($C$2=31.5,'S3'!J205,IF($C$2=32.5,'S3'!K205,IF($C$2=33.5,'S3'!L205))))))))))))</f>
        <v>2.5</v>
      </c>
      <c r="D205" s="75">
        <f>ROUNDDOWN(C205*1.4,2)</f>
        <v>3.5</v>
      </c>
      <c r="E205" s="75">
        <f>IF($E$2=22.5,'S3'!Y205,IF($E$2=23.5,'S3'!Z205,IF($E$2=24.5,'S3'!AA205,IF($E$2=25.5,'S3'!AB205,IF($E$2=26.5,'S3'!AC205,IF($E$2=27.5,'S3'!AD205,IF($E$2=28.5,'S3'!AE205,IF($E$2=29.5,'S3'!AF205,IF($E$2=30.5,'S3'!AG205,IF($E$2=31.5,'S3'!AH205,IF($E$2=32.5,'S3'!AI205,IF($E$2=33.5,'S3'!AJ205))))))))))))</f>
        <v>1.56</v>
      </c>
      <c r="F205" s="75">
        <f>ROUNDDOWN(E205*1.4,2)</f>
        <v>2.1800000000000002</v>
      </c>
    </row>
    <row r="206" spans="2:6">
      <c r="B206" s="58"/>
      <c r="C206" s="59"/>
      <c r="D206" s="58"/>
      <c r="E206" s="58"/>
    </row>
    <row r="207" spans="2:6">
      <c r="B207" s="58"/>
      <c r="C207" s="59"/>
      <c r="D207" s="58"/>
      <c r="E207" s="58"/>
    </row>
    <row r="208" spans="2:6">
      <c r="B208" s="58"/>
      <c r="C208" s="59"/>
      <c r="D208" s="58"/>
      <c r="E208" s="58"/>
    </row>
  </sheetData>
  <mergeCells count="24">
    <mergeCell ref="BI31:BJ31"/>
    <mergeCell ref="J2:K2"/>
    <mergeCell ref="L2:M2"/>
    <mergeCell ref="N2:O2"/>
    <mergeCell ref="P2:Q2"/>
    <mergeCell ref="V2:W2"/>
    <mergeCell ref="R2:S2"/>
    <mergeCell ref="T2:U2"/>
    <mergeCell ref="Z2:AA2"/>
    <mergeCell ref="AR2:AS2"/>
    <mergeCell ref="AH2:AI2"/>
    <mergeCell ref="X2:Y2"/>
    <mergeCell ref="AP2:AQ2"/>
    <mergeCell ref="AJ2:AK2"/>
    <mergeCell ref="AB2:AC2"/>
    <mergeCell ref="AD2:AE2"/>
    <mergeCell ref="AZ2:BA2"/>
    <mergeCell ref="BB2:BC2"/>
    <mergeCell ref="AT2:AU2"/>
    <mergeCell ref="AF2:AG2"/>
    <mergeCell ref="AL2:AM2"/>
    <mergeCell ref="AN2:AO2"/>
    <mergeCell ref="AV2:AW2"/>
    <mergeCell ref="AX2:AY2"/>
  </mergeCells>
  <phoneticPr fontId="0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72"/>
  <sheetViews>
    <sheetView showGridLines="0" view="pageBreakPreview" topLeftCell="A127" zoomScale="85" zoomScaleSheetLayoutView="85" workbookViewId="0">
      <selection activeCell="F142" sqref="F142"/>
    </sheetView>
  </sheetViews>
  <sheetFormatPr defaultColWidth="9.140625" defaultRowHeight="15"/>
  <cols>
    <col min="1" max="1" width="7.5703125" style="176" customWidth="1"/>
    <col min="2" max="3" width="9.85546875" style="176" customWidth="1"/>
    <col min="4" max="4" width="20.140625" style="176" customWidth="1"/>
    <col min="5" max="5" width="9.85546875" style="176" customWidth="1"/>
    <col min="6" max="6" width="11.85546875" style="176" customWidth="1"/>
    <col min="7" max="7" width="12" style="176" customWidth="1"/>
    <col min="8" max="8" width="7" style="176" customWidth="1"/>
    <col min="9" max="10" width="9.85546875" style="176" customWidth="1"/>
    <col min="11" max="11" width="26.28515625" style="176" customWidth="1"/>
    <col min="12" max="12" width="9.85546875" style="176" customWidth="1"/>
    <col min="13" max="13" width="10.7109375" style="176" customWidth="1"/>
    <col min="14" max="14" width="9.85546875" style="176" customWidth="1"/>
    <col min="15" max="15" width="8.7109375" style="176" customWidth="1"/>
    <col min="16" max="16" width="13.140625" style="176" customWidth="1"/>
    <col min="17" max="17" width="12.42578125" style="176" customWidth="1"/>
    <col min="18" max="18" width="22.85546875" style="176" customWidth="1"/>
    <col min="19" max="19" width="10.28515625" style="176" customWidth="1"/>
    <col min="20" max="20" width="14.42578125" style="176" customWidth="1"/>
    <col min="21" max="21" width="16.7109375" style="176" customWidth="1"/>
    <col min="22" max="22" width="7.7109375" style="176" customWidth="1"/>
    <col min="23" max="23" width="9.85546875" style="176" customWidth="1"/>
    <col min="24" max="16384" width="9.140625" style="176"/>
  </cols>
  <sheetData>
    <row r="1" spans="1:23" ht="24.95" customHeight="1">
      <c r="A1" s="173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5"/>
    </row>
    <row r="2" spans="1:23" ht="24.95" customHeight="1">
      <c r="A2" s="177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9"/>
    </row>
    <row r="3" spans="1:23" ht="24.95" customHeight="1">
      <c r="A3" s="180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9"/>
    </row>
    <row r="4" spans="1:23" ht="24.95" customHeight="1">
      <c r="A4" s="180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9"/>
    </row>
    <row r="5" spans="1:23" ht="24.95" customHeight="1">
      <c r="A5" s="18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9"/>
    </row>
    <row r="6" spans="1:23" ht="24.95" customHeight="1">
      <c r="A6" s="180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9"/>
    </row>
    <row r="7" spans="1:23" ht="24.95" customHeight="1">
      <c r="A7" s="180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9"/>
    </row>
    <row r="8" spans="1:23" ht="24.95" customHeight="1">
      <c r="A8" s="180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9"/>
    </row>
    <row r="9" spans="1:23" ht="24.95" customHeight="1">
      <c r="A9" s="180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9"/>
    </row>
    <row r="10" spans="1:23" ht="24.95" customHeight="1">
      <c r="A10" s="180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9"/>
    </row>
    <row r="11" spans="1:23" ht="24.95" customHeight="1">
      <c r="A11" s="180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9"/>
    </row>
    <row r="12" spans="1:23" ht="24.95" customHeight="1">
      <c r="A12" s="180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9"/>
    </row>
    <row r="13" spans="1:23" ht="24.95" customHeight="1">
      <c r="A13" s="180"/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9"/>
    </row>
    <row r="14" spans="1:23" ht="24.95" customHeight="1">
      <c r="A14" s="180"/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9"/>
    </row>
    <row r="15" spans="1:23" ht="24.95" customHeight="1">
      <c r="A15" s="180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9"/>
    </row>
    <row r="16" spans="1:23" ht="24.95" customHeight="1">
      <c r="A16" s="180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9"/>
    </row>
    <row r="17" spans="1:23" ht="24.95" customHeight="1">
      <c r="A17" s="1997" t="s">
        <v>934</v>
      </c>
      <c r="B17" s="1998"/>
      <c r="C17" s="1998"/>
      <c r="D17" s="1998"/>
      <c r="E17" s="1998"/>
      <c r="F17" s="1998"/>
      <c r="G17" s="1998"/>
      <c r="H17" s="1998"/>
      <c r="I17" s="1998"/>
      <c r="J17" s="1998"/>
      <c r="K17" s="1998"/>
      <c r="L17" s="1998"/>
      <c r="M17" s="1998"/>
      <c r="N17" s="1998"/>
      <c r="O17" s="1998"/>
      <c r="P17" s="1998"/>
      <c r="Q17" s="1998"/>
      <c r="R17" s="1998"/>
      <c r="S17" s="1998"/>
      <c r="T17" s="1998"/>
      <c r="U17" s="1998"/>
      <c r="V17" s="1998"/>
      <c r="W17" s="1999"/>
    </row>
    <row r="18" spans="1:23" ht="24.95" customHeight="1">
      <c r="A18" s="1997"/>
      <c r="B18" s="1998"/>
      <c r="C18" s="1998"/>
      <c r="D18" s="1998"/>
      <c r="E18" s="1998"/>
      <c r="F18" s="1998"/>
      <c r="G18" s="1998"/>
      <c r="H18" s="1998"/>
      <c r="I18" s="1998"/>
      <c r="J18" s="1998"/>
      <c r="K18" s="1998"/>
      <c r="L18" s="1998"/>
      <c r="M18" s="1998"/>
      <c r="N18" s="1998"/>
      <c r="O18" s="1998"/>
      <c r="P18" s="1998"/>
      <c r="Q18" s="1998"/>
      <c r="R18" s="1998"/>
      <c r="S18" s="1998"/>
      <c r="T18" s="1998"/>
      <c r="U18" s="1998"/>
      <c r="V18" s="1998"/>
      <c r="W18" s="1999"/>
    </row>
    <row r="19" spans="1:23" ht="24.95" customHeight="1">
      <c r="A19" s="1997"/>
      <c r="B19" s="1998"/>
      <c r="C19" s="1998"/>
      <c r="D19" s="1998"/>
      <c r="E19" s="1998"/>
      <c r="F19" s="1998"/>
      <c r="G19" s="1998"/>
      <c r="H19" s="1998"/>
      <c r="I19" s="1998"/>
      <c r="J19" s="1998"/>
      <c r="K19" s="1998"/>
      <c r="L19" s="1998"/>
      <c r="M19" s="1998"/>
      <c r="N19" s="1998"/>
      <c r="O19" s="1998"/>
      <c r="P19" s="1998"/>
      <c r="Q19" s="1998"/>
      <c r="R19" s="1998"/>
      <c r="S19" s="1998"/>
      <c r="T19" s="1998"/>
      <c r="U19" s="1998"/>
      <c r="V19" s="1998"/>
      <c r="W19" s="1999"/>
    </row>
    <row r="20" spans="1:23" ht="24.95" customHeight="1">
      <c r="A20" s="1997"/>
      <c r="B20" s="1998"/>
      <c r="C20" s="1998"/>
      <c r="D20" s="1998"/>
      <c r="E20" s="1998"/>
      <c r="F20" s="1998"/>
      <c r="G20" s="1998"/>
      <c r="H20" s="1998"/>
      <c r="I20" s="1998"/>
      <c r="J20" s="1998"/>
      <c r="K20" s="1998"/>
      <c r="L20" s="1998"/>
      <c r="M20" s="1998"/>
      <c r="N20" s="1998"/>
      <c r="O20" s="1998"/>
      <c r="P20" s="1998"/>
      <c r="Q20" s="1998"/>
      <c r="R20" s="1998"/>
      <c r="S20" s="1998"/>
      <c r="T20" s="1998"/>
      <c r="U20" s="1998"/>
      <c r="V20" s="1998"/>
      <c r="W20" s="1999"/>
    </row>
    <row r="21" spans="1:23" ht="24.95" customHeight="1">
      <c r="A21" s="1997" t="s">
        <v>961</v>
      </c>
      <c r="B21" s="1998"/>
      <c r="C21" s="1998"/>
      <c r="D21" s="1998"/>
      <c r="E21" s="1998"/>
      <c r="F21" s="1998"/>
      <c r="G21" s="1998"/>
      <c r="H21" s="1998"/>
      <c r="I21" s="1998"/>
      <c r="J21" s="1998"/>
      <c r="K21" s="1998"/>
      <c r="L21" s="1998"/>
      <c r="M21" s="1998"/>
      <c r="N21" s="1998"/>
      <c r="O21" s="1998"/>
      <c r="P21" s="1998"/>
      <c r="Q21" s="1998"/>
      <c r="R21" s="1998"/>
      <c r="S21" s="1998"/>
      <c r="T21" s="1998"/>
      <c r="U21" s="1998"/>
      <c r="V21" s="1998"/>
      <c r="W21" s="1999"/>
    </row>
    <row r="22" spans="1:23" ht="24.95" customHeight="1">
      <c r="A22" s="1997"/>
      <c r="B22" s="1998"/>
      <c r="C22" s="1998"/>
      <c r="D22" s="1998"/>
      <c r="E22" s="1998"/>
      <c r="F22" s="1998"/>
      <c r="G22" s="1998"/>
      <c r="H22" s="1998"/>
      <c r="I22" s="1998"/>
      <c r="J22" s="1998"/>
      <c r="K22" s="1998"/>
      <c r="L22" s="1998"/>
      <c r="M22" s="1998"/>
      <c r="N22" s="1998"/>
      <c r="O22" s="1998"/>
      <c r="P22" s="1998"/>
      <c r="Q22" s="1998"/>
      <c r="R22" s="1998"/>
      <c r="S22" s="1998"/>
      <c r="T22" s="1998"/>
      <c r="U22" s="1998"/>
      <c r="V22" s="1998"/>
      <c r="W22" s="1999"/>
    </row>
    <row r="23" spans="1:23" ht="24.95" customHeight="1">
      <c r="A23" s="1997"/>
      <c r="B23" s="1998"/>
      <c r="C23" s="1998"/>
      <c r="D23" s="1998"/>
      <c r="E23" s="1998"/>
      <c r="F23" s="1998"/>
      <c r="G23" s="1998"/>
      <c r="H23" s="1998"/>
      <c r="I23" s="1998"/>
      <c r="J23" s="1998"/>
      <c r="K23" s="1998"/>
      <c r="L23" s="1998"/>
      <c r="M23" s="1998"/>
      <c r="N23" s="1998"/>
      <c r="O23" s="1998"/>
      <c r="P23" s="1998"/>
      <c r="Q23" s="1998"/>
      <c r="R23" s="1998"/>
      <c r="S23" s="1998"/>
      <c r="T23" s="1998"/>
      <c r="U23" s="1998"/>
      <c r="V23" s="1998"/>
      <c r="W23" s="1999"/>
    </row>
    <row r="24" spans="1:23" ht="24.95" customHeight="1">
      <c r="A24" s="1997"/>
      <c r="B24" s="1998"/>
      <c r="C24" s="1998"/>
      <c r="D24" s="1998"/>
      <c r="E24" s="1998"/>
      <c r="F24" s="1998"/>
      <c r="G24" s="1998"/>
      <c r="H24" s="1998"/>
      <c r="I24" s="1998"/>
      <c r="J24" s="1998"/>
      <c r="K24" s="1998"/>
      <c r="L24" s="1998"/>
      <c r="M24" s="1998"/>
      <c r="N24" s="1998"/>
      <c r="O24" s="1998"/>
      <c r="P24" s="1998"/>
      <c r="Q24" s="1998"/>
      <c r="R24" s="1998"/>
      <c r="S24" s="1998"/>
      <c r="T24" s="1998"/>
      <c r="U24" s="1998"/>
      <c r="V24" s="1998"/>
      <c r="W24" s="1999"/>
    </row>
    <row r="25" spans="1:23" ht="24.95" customHeight="1">
      <c r="A25" s="2003" t="s">
        <v>962</v>
      </c>
      <c r="B25" s="2004"/>
      <c r="C25" s="2004"/>
      <c r="D25" s="2004"/>
      <c r="E25" s="2004"/>
      <c r="F25" s="2004"/>
      <c r="G25" s="2004"/>
      <c r="H25" s="2004"/>
      <c r="I25" s="2004"/>
      <c r="J25" s="2004"/>
      <c r="K25" s="2004"/>
      <c r="L25" s="2004"/>
      <c r="M25" s="2004"/>
      <c r="N25" s="2004"/>
      <c r="O25" s="2004"/>
      <c r="P25" s="2004"/>
      <c r="Q25" s="2004"/>
      <c r="R25" s="2004"/>
      <c r="S25" s="2004"/>
      <c r="T25" s="2004"/>
      <c r="U25" s="2004"/>
      <c r="V25" s="2004"/>
      <c r="W25" s="2005"/>
    </row>
    <row r="26" spans="1:23" ht="24.95" customHeight="1">
      <c r="A26" s="2003"/>
      <c r="B26" s="2004"/>
      <c r="C26" s="2004"/>
      <c r="D26" s="2004"/>
      <c r="E26" s="2004"/>
      <c r="F26" s="2004"/>
      <c r="G26" s="2004"/>
      <c r="H26" s="2004"/>
      <c r="I26" s="2004"/>
      <c r="J26" s="2004"/>
      <c r="K26" s="2004"/>
      <c r="L26" s="2004"/>
      <c r="M26" s="2004"/>
      <c r="N26" s="2004"/>
      <c r="O26" s="2004"/>
      <c r="P26" s="2004"/>
      <c r="Q26" s="2004"/>
      <c r="R26" s="2004"/>
      <c r="S26" s="2004"/>
      <c r="T26" s="2004"/>
      <c r="U26" s="2004"/>
      <c r="V26" s="2004"/>
      <c r="W26" s="2005"/>
    </row>
    <row r="27" spans="1:23" ht="24.95" customHeight="1">
      <c r="A27" s="2003"/>
      <c r="B27" s="2004"/>
      <c r="C27" s="2004"/>
      <c r="D27" s="2004"/>
      <c r="E27" s="2004"/>
      <c r="F27" s="2004"/>
      <c r="G27" s="2004"/>
      <c r="H27" s="2004"/>
      <c r="I27" s="2004"/>
      <c r="J27" s="2004"/>
      <c r="K27" s="2004"/>
      <c r="L27" s="2004"/>
      <c r="M27" s="2004"/>
      <c r="N27" s="2004"/>
      <c r="O27" s="2004"/>
      <c r="P27" s="2004"/>
      <c r="Q27" s="2004"/>
      <c r="R27" s="2004"/>
      <c r="S27" s="2004"/>
      <c r="T27" s="2004"/>
      <c r="U27" s="2004"/>
      <c r="V27" s="2004"/>
      <c r="W27" s="2005"/>
    </row>
    <row r="28" spans="1:23" ht="60" customHeight="1">
      <c r="A28" s="2000" t="s">
        <v>935</v>
      </c>
      <c r="B28" s="2001"/>
      <c r="C28" s="2001"/>
      <c r="D28" s="2001"/>
      <c r="E28" s="2001"/>
      <c r="F28" s="2001"/>
      <c r="G28" s="2001"/>
      <c r="H28" s="2001"/>
      <c r="I28" s="2001"/>
      <c r="J28" s="2001"/>
      <c r="K28" s="2001"/>
      <c r="L28" s="2001"/>
      <c r="M28" s="2001"/>
      <c r="N28" s="2001"/>
      <c r="O28" s="2001"/>
      <c r="P28" s="2001"/>
      <c r="Q28" s="2001"/>
      <c r="R28" s="2001"/>
      <c r="S28" s="2001"/>
      <c r="T28" s="2001"/>
      <c r="U28" s="2001"/>
      <c r="V28" s="2001"/>
      <c r="W28" s="2002"/>
    </row>
    <row r="29" spans="1:23" ht="60" customHeight="1">
      <c r="A29" s="2000" t="s">
        <v>949</v>
      </c>
      <c r="B29" s="2001"/>
      <c r="C29" s="2001"/>
      <c r="D29" s="2001"/>
      <c r="E29" s="2001"/>
      <c r="F29" s="2001"/>
      <c r="G29" s="2001"/>
      <c r="H29" s="2001"/>
      <c r="I29" s="2001"/>
      <c r="J29" s="2001"/>
      <c r="K29" s="2001"/>
      <c r="L29" s="2001"/>
      <c r="M29" s="2001"/>
      <c r="N29" s="2001"/>
      <c r="O29" s="2001"/>
      <c r="P29" s="2001"/>
      <c r="Q29" s="2001"/>
      <c r="R29" s="2001"/>
      <c r="S29" s="2001"/>
      <c r="T29" s="2001"/>
      <c r="U29" s="2001"/>
      <c r="V29" s="2001"/>
      <c r="W29" s="2002"/>
    </row>
    <row r="30" spans="1:23" ht="60" customHeight="1">
      <c r="A30" s="979"/>
      <c r="B30" s="980"/>
      <c r="C30" s="980"/>
      <c r="D30" s="980"/>
      <c r="E30" s="980"/>
      <c r="F30" s="980"/>
      <c r="G30" s="2039" t="s">
        <v>321</v>
      </c>
      <c r="H30" s="2039"/>
      <c r="I30" s="2039"/>
      <c r="J30" s="2039"/>
      <c r="K30" s="2029" t="e">
        <f>'1.ข้อมูล'!#REF!</f>
        <v>#REF!</v>
      </c>
      <c r="L30" s="2029"/>
      <c r="M30" s="2029"/>
      <c r="N30" s="980" t="s">
        <v>322</v>
      </c>
      <c r="O30" s="980"/>
      <c r="P30" s="980"/>
      <c r="Q30" s="980"/>
      <c r="R30" s="980"/>
      <c r="S30" s="980"/>
      <c r="T30" s="980"/>
      <c r="U30" s="980"/>
      <c r="V30" s="980"/>
      <c r="W30" s="186"/>
    </row>
    <row r="31" spans="1:23" ht="24.95" customHeight="1">
      <c r="A31" s="1016"/>
      <c r="B31" s="1017"/>
      <c r="C31" s="1017"/>
      <c r="D31" s="1017"/>
      <c r="E31" s="1017"/>
      <c r="F31" s="1017"/>
      <c r="G31" s="1017"/>
      <c r="H31" s="1017"/>
      <c r="I31" s="1017"/>
      <c r="J31" s="1017"/>
      <c r="K31" s="1017"/>
      <c r="L31" s="1017"/>
      <c r="M31" s="1017"/>
      <c r="N31" s="1017"/>
      <c r="O31" s="1017"/>
      <c r="P31" s="1017"/>
      <c r="Q31" s="1017"/>
      <c r="R31" s="1017"/>
      <c r="S31" s="1017"/>
      <c r="T31" s="1017"/>
      <c r="U31" s="1017"/>
      <c r="V31" s="1017"/>
      <c r="W31" s="1018"/>
    </row>
    <row r="32" spans="1:23" ht="24.95" customHeight="1">
      <c r="A32" s="1016"/>
      <c r="B32" s="1017"/>
      <c r="C32" s="1017"/>
      <c r="D32" s="1017"/>
      <c r="E32" s="1017"/>
      <c r="F32" s="1017"/>
      <c r="G32" s="1017"/>
      <c r="H32" s="1017"/>
      <c r="I32" s="1017"/>
      <c r="J32" s="1017"/>
      <c r="K32" s="1017"/>
      <c r="L32" s="1017"/>
      <c r="M32" s="1017"/>
      <c r="N32" s="1017"/>
      <c r="O32" s="1017"/>
      <c r="P32" s="1017"/>
      <c r="Q32" s="1017"/>
      <c r="R32" s="1017"/>
      <c r="S32" s="1017"/>
      <c r="T32" s="1017"/>
      <c r="U32" s="1017"/>
      <c r="V32" s="1017"/>
      <c r="W32" s="1018"/>
    </row>
    <row r="33" spans="1:23" ht="21" customHeight="1">
      <c r="A33" s="180"/>
      <c r="B33" s="181"/>
      <c r="C33" s="181"/>
      <c r="D33" s="181"/>
      <c r="E33" s="181"/>
      <c r="F33" s="181"/>
      <c r="G33" s="181"/>
      <c r="H33" s="181"/>
      <c r="I33" s="182"/>
      <c r="J33" s="182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9"/>
    </row>
    <row r="34" spans="1:23" ht="21.75" customHeight="1">
      <c r="A34" s="180"/>
      <c r="B34" s="2036"/>
      <c r="C34" s="2036"/>
      <c r="D34" s="2036"/>
      <c r="E34" s="2036"/>
      <c r="F34" s="2036"/>
      <c r="G34" s="2036"/>
      <c r="H34" s="2036"/>
      <c r="I34" s="2036"/>
      <c r="J34" s="456"/>
      <c r="K34" s="457"/>
      <c r="L34" s="457"/>
      <c r="M34" s="457"/>
      <c r="N34" s="457"/>
      <c r="O34" s="2035" t="s">
        <v>411</v>
      </c>
      <c r="P34" s="2035"/>
      <c r="Q34" s="2035"/>
      <c r="R34" s="2035"/>
      <c r="S34" s="2035"/>
      <c r="T34" s="2035"/>
      <c r="U34" s="2035"/>
      <c r="V34" s="2035"/>
      <c r="W34" s="179"/>
    </row>
    <row r="35" spans="1:23" ht="21.75" customHeight="1">
      <c r="A35" s="180"/>
      <c r="B35" s="2036"/>
      <c r="C35" s="2036"/>
      <c r="D35" s="2036"/>
      <c r="E35" s="2036"/>
      <c r="F35" s="2036"/>
      <c r="G35" s="2036"/>
      <c r="H35" s="2036"/>
      <c r="I35" s="2036"/>
      <c r="J35" s="456"/>
      <c r="K35" s="457"/>
      <c r="L35" s="457"/>
      <c r="M35" s="457"/>
      <c r="N35" s="457"/>
      <c r="O35" s="2035"/>
      <c r="P35" s="2035"/>
      <c r="Q35" s="2035"/>
      <c r="R35" s="2035"/>
      <c r="S35" s="2035"/>
      <c r="T35" s="2035"/>
      <c r="U35" s="2035"/>
      <c r="V35" s="2035"/>
      <c r="W35" s="186"/>
    </row>
    <row r="36" spans="1:23" ht="21.75" customHeight="1">
      <c r="A36" s="180"/>
      <c r="B36" s="2037" t="s">
        <v>299</v>
      </c>
      <c r="C36" s="2037"/>
      <c r="D36" s="2037"/>
      <c r="E36" s="2037"/>
      <c r="F36" s="2037"/>
      <c r="G36" s="2037"/>
      <c r="H36" s="2037"/>
      <c r="I36" s="187"/>
      <c r="J36" s="183"/>
      <c r="K36" s="178"/>
      <c r="L36" s="178"/>
      <c r="M36" s="178"/>
      <c r="N36" s="178"/>
      <c r="O36" s="184"/>
      <c r="P36" s="184"/>
      <c r="Q36" s="182"/>
      <c r="R36" s="2038" t="s">
        <v>300</v>
      </c>
      <c r="S36" s="2038"/>
      <c r="T36" s="2038"/>
      <c r="U36" s="2038"/>
      <c r="V36" s="2038"/>
      <c r="W36" s="186"/>
    </row>
    <row r="37" spans="1:23" ht="21.75" customHeight="1">
      <c r="A37" s="180"/>
      <c r="B37" s="2037"/>
      <c r="C37" s="2037"/>
      <c r="D37" s="2037"/>
      <c r="E37" s="2037"/>
      <c r="F37" s="2037"/>
      <c r="G37" s="2037"/>
      <c r="H37" s="2037"/>
      <c r="I37" s="178"/>
      <c r="J37" s="178"/>
      <c r="K37" s="178"/>
      <c r="L37" s="178"/>
      <c r="M37" s="178"/>
      <c r="N37" s="178"/>
      <c r="O37" s="178"/>
      <c r="P37" s="178"/>
      <c r="Q37" s="178"/>
      <c r="R37" s="2038"/>
      <c r="S37" s="2038"/>
      <c r="T37" s="2038"/>
      <c r="U37" s="2038"/>
      <c r="V37" s="2038"/>
      <c r="W37" s="179"/>
    </row>
    <row r="38" spans="1:23" ht="21.75" customHeight="1" thickBot="1">
      <c r="A38" s="188"/>
      <c r="B38" s="189"/>
      <c r="C38" s="189"/>
      <c r="D38" s="189"/>
      <c r="E38" s="189"/>
      <c r="F38" s="189"/>
      <c r="G38" s="189"/>
      <c r="H38" s="189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1"/>
    </row>
    <row r="39" spans="1:23" ht="21.75" customHeight="1">
      <c r="A39" s="192"/>
      <c r="B39" s="193"/>
      <c r="C39" s="193"/>
      <c r="D39" s="193"/>
      <c r="E39" s="193"/>
      <c r="F39" s="193"/>
      <c r="G39" s="193"/>
      <c r="H39" s="193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5"/>
    </row>
    <row r="40" spans="1:23" ht="24.95" customHeight="1">
      <c r="A40" s="2027" t="str">
        <f>A17</f>
        <v>โครงการอำนวยความปลอดภัย</v>
      </c>
      <c r="B40" s="2028"/>
      <c r="C40" s="2028"/>
      <c r="D40" s="2028"/>
      <c r="E40" s="2028"/>
      <c r="F40" s="2028"/>
      <c r="G40" s="2028"/>
      <c r="H40" s="2028"/>
      <c r="I40" s="2028"/>
      <c r="J40" s="2028"/>
      <c r="K40" s="202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9"/>
    </row>
    <row r="41" spans="1:23" ht="24.95" customHeight="1">
      <c r="A41" s="2027"/>
      <c r="B41" s="2028"/>
      <c r="C41" s="2028"/>
      <c r="D41" s="2028"/>
      <c r="E41" s="2028"/>
      <c r="F41" s="2028"/>
      <c r="G41" s="2028"/>
      <c r="H41" s="2028"/>
      <c r="I41" s="2028"/>
      <c r="J41" s="2028"/>
      <c r="K41" s="2028"/>
      <c r="L41" s="649" t="s">
        <v>965</v>
      </c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9"/>
    </row>
    <row r="42" spans="1:23" ht="24.95" customHeight="1">
      <c r="A42" s="2025" t="str">
        <f>$A$21</f>
        <v xml:space="preserve">และปรับปรุงแก้ไขบริเวณเสี่ยงอันตรายบริเวณคอขวด : ขยายไหล่ทาง </v>
      </c>
      <c r="B42" s="2026"/>
      <c r="C42" s="2026"/>
      <c r="D42" s="2026"/>
      <c r="E42" s="2026"/>
      <c r="F42" s="2026"/>
      <c r="G42" s="2026"/>
      <c r="H42" s="2026"/>
      <c r="I42" s="2026"/>
      <c r="J42" s="2026"/>
      <c r="K42" s="2026"/>
      <c r="L42" s="197" t="s">
        <v>966</v>
      </c>
      <c r="M42" s="198"/>
      <c r="N42" s="199"/>
      <c r="O42" s="178"/>
      <c r="P42" s="988"/>
      <c r="Q42" s="988"/>
      <c r="R42" s="200"/>
      <c r="T42" s="989" t="s">
        <v>545</v>
      </c>
      <c r="U42" s="201" t="e">
        <f>Q43+Q44+Q45+Q46+Q47+Q48</f>
        <v>#REF!</v>
      </c>
      <c r="V42" s="218" t="s">
        <v>322</v>
      </c>
      <c r="W42" s="603"/>
    </row>
    <row r="43" spans="1:23" ht="24.95" customHeight="1">
      <c r="A43" s="2025"/>
      <c r="B43" s="2026"/>
      <c r="C43" s="2026"/>
      <c r="D43" s="2026"/>
      <c r="E43" s="2026"/>
      <c r="F43" s="2026"/>
      <c r="G43" s="2026"/>
      <c r="H43" s="2026"/>
      <c r="I43" s="2026"/>
      <c r="J43" s="2026"/>
      <c r="K43" s="2026"/>
      <c r="L43" s="202" t="s">
        <v>533</v>
      </c>
      <c r="M43" s="203" t="e">
        <f>#REF!</f>
        <v>#REF!</v>
      </c>
      <c r="N43" s="202" t="s">
        <v>323</v>
      </c>
      <c r="O43" s="203" t="e">
        <f>#REF!</f>
        <v>#REF!</v>
      </c>
      <c r="P43" s="204" t="s">
        <v>324</v>
      </c>
      <c r="Q43" s="205" t="e">
        <f>(O43-M43)/1000</f>
        <v>#REF!</v>
      </c>
      <c r="R43" s="206" t="s">
        <v>936</v>
      </c>
      <c r="S43" s="206"/>
      <c r="T43" s="206"/>
      <c r="U43" s="206"/>
      <c r="V43" s="207"/>
      <c r="W43" s="208"/>
    </row>
    <row r="44" spans="1:23" ht="24.95" customHeight="1">
      <c r="A44" s="2034" t="str">
        <f>A25</f>
        <v>(โดยวิธี Pavement In - Place Recyling)</v>
      </c>
      <c r="B44" s="2034"/>
      <c r="C44" s="2034"/>
      <c r="D44" s="2034"/>
      <c r="E44" s="2034"/>
      <c r="F44" s="2034"/>
      <c r="G44" s="2034"/>
      <c r="H44" s="2034"/>
      <c r="I44" s="2034"/>
      <c r="J44" s="2034"/>
      <c r="K44" s="2034"/>
      <c r="L44" s="202" t="s">
        <v>534</v>
      </c>
      <c r="M44" s="203" t="e">
        <f>#REF!</f>
        <v>#REF!</v>
      </c>
      <c r="N44" s="202" t="s">
        <v>323</v>
      </c>
      <c r="O44" s="203" t="e">
        <f>#REF!</f>
        <v>#REF!</v>
      </c>
      <c r="P44" s="204" t="s">
        <v>324</v>
      </c>
      <c r="Q44" s="205" t="e">
        <f>(O44-M44)/1000</f>
        <v>#REF!</v>
      </c>
      <c r="R44" s="206" t="s">
        <v>936</v>
      </c>
      <c r="S44" s="206"/>
      <c r="T44" s="206"/>
      <c r="U44" s="206"/>
      <c r="V44" s="206"/>
      <c r="W44" s="208"/>
    </row>
    <row r="45" spans="1:23" ht="24.95" customHeight="1">
      <c r="A45" s="2034"/>
      <c r="B45" s="2034"/>
      <c r="C45" s="2034"/>
      <c r="D45" s="2034"/>
      <c r="E45" s="2034"/>
      <c r="F45" s="2034"/>
      <c r="G45" s="2034"/>
      <c r="H45" s="2034"/>
      <c r="I45" s="2034"/>
      <c r="J45" s="2034"/>
      <c r="K45" s="2034"/>
      <c r="L45" s="990"/>
      <c r="M45" s="991"/>
      <c r="N45" s="990"/>
      <c r="O45" s="991"/>
      <c r="P45" s="992"/>
      <c r="Q45" s="993"/>
      <c r="R45" s="994"/>
      <c r="S45" s="994"/>
      <c r="T45" s="994"/>
      <c r="U45" s="994"/>
      <c r="V45" s="995"/>
      <c r="W45" s="997"/>
    </row>
    <row r="46" spans="1:23" ht="48" customHeight="1">
      <c r="A46" s="2032" t="s">
        <v>490</v>
      </c>
      <c r="B46" s="2033"/>
      <c r="C46" s="2033"/>
      <c r="D46" s="2033"/>
      <c r="E46" s="2033"/>
      <c r="F46" s="2033"/>
      <c r="G46" s="2033"/>
      <c r="H46" s="2033"/>
      <c r="I46" s="2033"/>
      <c r="J46" s="2033"/>
      <c r="K46" s="2033"/>
      <c r="L46" s="983"/>
      <c r="M46" s="998"/>
      <c r="N46" s="984"/>
      <c r="O46" s="671"/>
      <c r="P46" s="672"/>
      <c r="Q46" s="671"/>
      <c r="R46" s="985"/>
      <c r="S46" s="185"/>
      <c r="T46" s="178"/>
      <c r="U46" s="178"/>
      <c r="V46" s="178"/>
      <c r="W46" s="179"/>
    </row>
    <row r="47" spans="1:23" s="1020" customFormat="1" ht="45" customHeight="1">
      <c r="A47" s="2032" t="s">
        <v>325</v>
      </c>
      <c r="B47" s="2033"/>
      <c r="C47" s="2033"/>
      <c r="D47" s="2033"/>
      <c r="E47" s="2033"/>
      <c r="F47" s="2033"/>
      <c r="G47" s="2033"/>
      <c r="H47" s="2033"/>
      <c r="I47" s="2033"/>
      <c r="J47" s="2033"/>
      <c r="K47" s="2033"/>
      <c r="L47" s="990"/>
      <c r="M47" s="991"/>
      <c r="N47" s="990"/>
      <c r="O47" s="991"/>
      <c r="P47" s="992"/>
      <c r="Q47" s="993"/>
      <c r="R47" s="994"/>
      <c r="S47" s="1019"/>
      <c r="T47" s="1019"/>
      <c r="U47" s="994"/>
      <c r="V47" s="1019"/>
      <c r="W47" s="996"/>
    </row>
    <row r="48" spans="1:23" ht="24.95" customHeight="1">
      <c r="A48" s="2051" t="str">
        <f>A28</f>
        <v>ชื่อสายทาง : กส.2008   แยกทางหลวงหมายเลข 12 - บ้านโพนนาดี</v>
      </c>
      <c r="B48" s="2052"/>
      <c r="C48" s="2052"/>
      <c r="D48" s="2052"/>
      <c r="E48" s="2052"/>
      <c r="F48" s="2052"/>
      <c r="G48" s="2052"/>
      <c r="H48" s="2052"/>
      <c r="I48" s="2052"/>
      <c r="J48" s="2052"/>
      <c r="K48" s="2052"/>
      <c r="L48" s="990"/>
      <c r="M48" s="991"/>
      <c r="N48" s="990"/>
      <c r="O48" s="991"/>
      <c r="P48" s="992"/>
      <c r="Q48" s="993"/>
      <c r="R48" s="994"/>
      <c r="S48" s="995"/>
      <c r="T48" s="995"/>
      <c r="U48" s="994"/>
      <c r="V48" s="995"/>
      <c r="W48" s="996"/>
    </row>
    <row r="49" spans="1:23" ht="23.1" customHeight="1">
      <c r="A49" s="2051"/>
      <c r="B49" s="2052"/>
      <c r="C49" s="2052"/>
      <c r="D49" s="2052"/>
      <c r="E49" s="2052"/>
      <c r="F49" s="2052"/>
      <c r="G49" s="2052"/>
      <c r="H49" s="2052"/>
      <c r="I49" s="2052"/>
      <c r="J49" s="2052"/>
      <c r="K49" s="2052"/>
      <c r="L49" s="983"/>
      <c r="M49" s="670"/>
      <c r="N49" s="984"/>
      <c r="O49" s="671"/>
      <c r="P49" s="672"/>
      <c r="Q49" s="671"/>
      <c r="R49" s="985"/>
      <c r="S49" s="185"/>
      <c r="T49" s="178"/>
      <c r="U49" s="178"/>
      <c r="V49" s="178"/>
      <c r="W49" s="179"/>
    </row>
    <row r="50" spans="1:23" s="210" customFormat="1" ht="30" customHeight="1">
      <c r="A50" s="2051" t="str">
        <f>$A$29</f>
        <v>อำเภอกุฉินารายณ์     จังหวัดกาฬสินธุ์</v>
      </c>
      <c r="B50" s="2052"/>
      <c r="C50" s="2052"/>
      <c r="D50" s="2052"/>
      <c r="E50" s="2052"/>
      <c r="F50" s="2052"/>
      <c r="G50" s="2052"/>
      <c r="H50" s="2052"/>
      <c r="I50" s="2052"/>
      <c r="J50" s="2052"/>
      <c r="K50" s="2052"/>
      <c r="L50" s="160"/>
      <c r="M50" s="670"/>
      <c r="N50" s="650"/>
      <c r="O50" s="161"/>
      <c r="P50" s="648"/>
      <c r="Q50" s="648"/>
      <c r="R50" s="668"/>
      <c r="S50" s="986"/>
      <c r="T50" s="178"/>
      <c r="U50" s="178"/>
      <c r="V50" s="178"/>
      <c r="W50" s="179"/>
    </row>
    <row r="51" spans="1:23" ht="30" customHeight="1">
      <c r="A51" s="1014"/>
      <c r="B51" s="182"/>
      <c r="C51" s="182"/>
      <c r="D51" s="182" t="s">
        <v>539</v>
      </c>
      <c r="E51" s="182"/>
      <c r="F51" s="1015" t="e">
        <f>K30</f>
        <v>#REF!</v>
      </c>
      <c r="G51" s="1015"/>
      <c r="H51" s="182" t="s">
        <v>322</v>
      </c>
      <c r="I51" s="182"/>
      <c r="J51" s="982"/>
      <c r="K51" s="182"/>
      <c r="L51" s="185"/>
      <c r="M51" s="218" t="s">
        <v>963</v>
      </c>
      <c r="N51" s="185"/>
      <c r="O51" s="185"/>
      <c r="P51" s="185"/>
      <c r="Q51" s="185"/>
      <c r="R51" s="185"/>
      <c r="S51" s="185"/>
      <c r="T51" s="185"/>
      <c r="U51" s="185"/>
      <c r="V51" s="185"/>
      <c r="W51" s="603"/>
    </row>
    <row r="52" spans="1:23" s="210" customFormat="1" ht="27.95" customHeight="1">
      <c r="A52" s="981"/>
      <c r="B52" s="982"/>
      <c r="C52" s="982"/>
      <c r="K52" s="982"/>
      <c r="L52" s="212"/>
      <c r="M52" s="218" t="s">
        <v>964</v>
      </c>
      <c r="N52" s="185"/>
      <c r="O52" s="185"/>
      <c r="P52" s="185"/>
      <c r="Q52" s="185"/>
      <c r="R52" s="185"/>
      <c r="S52" s="185"/>
      <c r="T52" s="185"/>
      <c r="U52" s="185"/>
      <c r="V52" s="185"/>
      <c r="W52" s="603"/>
    </row>
    <row r="53" spans="1:23" ht="24.95" customHeight="1">
      <c r="A53" s="974"/>
      <c r="B53" s="975"/>
      <c r="C53" s="183"/>
      <c r="D53" s="182"/>
      <c r="E53" s="182"/>
      <c r="F53" s="1015"/>
      <c r="G53" s="1015"/>
      <c r="H53" s="182"/>
      <c r="I53" s="182"/>
      <c r="J53" s="183"/>
      <c r="K53" s="663"/>
      <c r="L53" s="178"/>
      <c r="M53" s="999"/>
      <c r="N53" s="2049" t="s">
        <v>326</v>
      </c>
      <c r="O53" s="2049"/>
      <c r="P53" s="2049"/>
      <c r="Q53" s="2049"/>
      <c r="R53" s="2049"/>
      <c r="S53" s="2049"/>
      <c r="T53" s="2049"/>
      <c r="U53" s="2049"/>
      <c r="V53" s="1000"/>
      <c r="W53" s="1001"/>
    </row>
    <row r="54" spans="1:23" ht="24.95" customHeight="1">
      <c r="A54" s="987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78"/>
      <c r="M54" s="677" t="s">
        <v>327</v>
      </c>
      <c r="N54" s="2049" t="s">
        <v>1</v>
      </c>
      <c r="O54" s="2049"/>
      <c r="P54" s="2049"/>
      <c r="Q54" s="2049"/>
      <c r="R54" s="2049"/>
      <c r="S54" s="2049"/>
      <c r="T54" s="2049"/>
      <c r="U54" s="2050"/>
      <c r="V54" s="2030" t="s">
        <v>15</v>
      </c>
      <c r="W54" s="2031"/>
    </row>
    <row r="55" spans="1:23" ht="24.95" customHeight="1">
      <c r="A55" s="216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178"/>
      <c r="M55" s="223">
        <v>1</v>
      </c>
      <c r="N55" s="675" t="s">
        <v>328</v>
      </c>
      <c r="O55" s="220"/>
      <c r="P55" s="220"/>
      <c r="Q55" s="221"/>
      <c r="R55" s="221"/>
      <c r="S55" s="221"/>
      <c r="T55" s="221"/>
      <c r="U55" s="222"/>
      <c r="V55" s="2047" t="s">
        <v>329</v>
      </c>
      <c r="W55" s="2048"/>
    </row>
    <row r="56" spans="1:23" ht="24.95" customHeight="1">
      <c r="A56" s="216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178"/>
      <c r="M56" s="223">
        <v>2</v>
      </c>
      <c r="N56" s="178" t="s">
        <v>950</v>
      </c>
      <c r="O56" s="224"/>
      <c r="P56" s="224"/>
      <c r="Q56" s="976"/>
      <c r="R56" s="976"/>
      <c r="S56" s="976"/>
      <c r="T56" s="976"/>
      <c r="U56" s="226"/>
      <c r="V56" s="2042" t="s">
        <v>329</v>
      </c>
      <c r="W56" s="2024"/>
    </row>
    <row r="57" spans="1:23" ht="24.95" customHeight="1">
      <c r="A57" s="216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178"/>
      <c r="M57" s="223">
        <v>3</v>
      </c>
      <c r="N57" s="227" t="s">
        <v>330</v>
      </c>
      <c r="O57" s="185"/>
      <c r="P57" s="185"/>
      <c r="Q57" s="185"/>
      <c r="R57" s="185"/>
      <c r="S57" s="185"/>
      <c r="T57" s="185"/>
      <c r="U57" s="185"/>
      <c r="V57" s="2042" t="s">
        <v>329</v>
      </c>
      <c r="W57" s="2024"/>
    </row>
    <row r="58" spans="1:23" ht="24.95" customHeight="1">
      <c r="A58" s="216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178"/>
      <c r="M58" s="223">
        <v>4</v>
      </c>
      <c r="N58" s="227" t="s">
        <v>535</v>
      </c>
      <c r="O58" s="224"/>
      <c r="P58" s="224"/>
      <c r="Q58" s="227"/>
      <c r="R58" s="978"/>
      <c r="S58" s="978"/>
      <c r="T58" s="978"/>
      <c r="U58" s="226"/>
      <c r="V58" s="2042" t="s">
        <v>329</v>
      </c>
      <c r="W58" s="2024"/>
    </row>
    <row r="59" spans="1:23" ht="24.95" customHeight="1">
      <c r="A59" s="216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178"/>
      <c r="M59" s="223">
        <v>5</v>
      </c>
      <c r="N59" s="227" t="s">
        <v>536</v>
      </c>
      <c r="O59" s="224"/>
      <c r="P59" s="224"/>
      <c r="Q59" s="978"/>
      <c r="R59" s="978"/>
      <c r="S59" s="978"/>
      <c r="T59" s="978"/>
      <c r="U59" s="226"/>
      <c r="V59" s="2042" t="s">
        <v>329</v>
      </c>
      <c r="W59" s="2024"/>
    </row>
    <row r="60" spans="1:23" ht="24.95" customHeight="1">
      <c r="A60" s="216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178"/>
      <c r="M60" s="223">
        <v>6</v>
      </c>
      <c r="N60" s="227" t="s">
        <v>951</v>
      </c>
      <c r="O60" s="224"/>
      <c r="P60" s="224"/>
      <c r="Q60" s="978"/>
      <c r="R60" s="978"/>
      <c r="S60" s="978"/>
      <c r="T60" s="978"/>
      <c r="U60" s="978"/>
      <c r="V60" s="2042" t="s">
        <v>329</v>
      </c>
      <c r="W60" s="2024"/>
    </row>
    <row r="61" spans="1:23" ht="24.95" customHeight="1">
      <c r="A61" s="216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178"/>
      <c r="M61" s="223">
        <v>7</v>
      </c>
      <c r="N61" s="227" t="s">
        <v>548</v>
      </c>
      <c r="O61" s="224"/>
      <c r="P61" s="224"/>
      <c r="Q61" s="229"/>
      <c r="R61" s="229"/>
      <c r="S61" s="229"/>
      <c r="T61" s="229"/>
      <c r="U61" s="229"/>
      <c r="V61" s="2042" t="s">
        <v>549</v>
      </c>
      <c r="W61" s="2024"/>
    </row>
    <row r="62" spans="1:23" ht="24.95" customHeight="1">
      <c r="A62" s="216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178"/>
      <c r="M62" s="223">
        <v>8</v>
      </c>
      <c r="N62" s="676" t="s">
        <v>952</v>
      </c>
      <c r="O62" s="224"/>
      <c r="P62" s="224"/>
      <c r="Q62" s="976"/>
      <c r="R62" s="976"/>
      <c r="S62" s="976"/>
      <c r="T62" s="976"/>
      <c r="U62" s="976"/>
      <c r="V62" s="2042" t="s">
        <v>329</v>
      </c>
      <c r="W62" s="2024"/>
    </row>
    <row r="63" spans="1:23" ht="24.95" customHeight="1">
      <c r="A63" s="216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178"/>
      <c r="M63" s="223">
        <v>9</v>
      </c>
      <c r="N63" s="227" t="s">
        <v>537</v>
      </c>
      <c r="O63" s="185"/>
      <c r="P63" s="185"/>
      <c r="Q63" s="185"/>
      <c r="R63" s="185"/>
      <c r="S63" s="185"/>
      <c r="T63" s="185"/>
      <c r="U63" s="624"/>
      <c r="V63" s="2042" t="s">
        <v>494</v>
      </c>
      <c r="W63" s="2024"/>
    </row>
    <row r="64" spans="1:23" ht="24.95" customHeight="1">
      <c r="A64" s="216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178"/>
      <c r="M64" s="223"/>
      <c r="N64" s="227"/>
      <c r="O64" s="224"/>
      <c r="P64" s="224"/>
      <c r="Q64" s="229"/>
      <c r="R64" s="229"/>
      <c r="S64" s="229"/>
      <c r="T64" s="229"/>
      <c r="U64" s="229"/>
      <c r="V64" s="2042"/>
      <c r="W64" s="2024"/>
    </row>
    <row r="65" spans="1:23" ht="24.95" customHeight="1">
      <c r="A65" s="216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178"/>
      <c r="M65" s="1003"/>
      <c r="N65" s="1004"/>
      <c r="O65" s="1005"/>
      <c r="P65" s="1005"/>
      <c r="Q65" s="1005"/>
      <c r="R65" s="1005"/>
      <c r="S65" s="1005"/>
      <c r="T65" s="1005"/>
      <c r="U65" s="1006"/>
      <c r="V65" s="2053"/>
      <c r="W65" s="2054"/>
    </row>
    <row r="66" spans="1:23" ht="24.95" customHeight="1">
      <c r="A66" s="216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178"/>
      <c r="M66" s="1007"/>
      <c r="N66" s="675"/>
      <c r="O66" s="1008"/>
      <c r="P66" s="1008"/>
      <c r="Q66" s="1008"/>
      <c r="R66" s="1008"/>
      <c r="S66" s="1008"/>
      <c r="T66" s="1008"/>
      <c r="U66" s="1008"/>
      <c r="V66" s="2055"/>
      <c r="W66" s="2048"/>
    </row>
    <row r="67" spans="1:23" ht="24.95" customHeight="1">
      <c r="A67" s="216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28"/>
      <c r="M67" s="1009"/>
      <c r="N67" s="227"/>
      <c r="O67" s="185"/>
      <c r="P67" s="185"/>
      <c r="Q67" s="185"/>
      <c r="R67" s="185"/>
      <c r="S67" s="185"/>
      <c r="T67" s="185"/>
      <c r="U67" s="185"/>
      <c r="V67" s="2023"/>
      <c r="W67" s="2024"/>
    </row>
    <row r="68" spans="1:23" ht="24.95" customHeight="1">
      <c r="A68" s="216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28"/>
      <c r="M68" s="1009"/>
      <c r="N68" s="227"/>
      <c r="O68" s="185"/>
      <c r="P68" s="185"/>
      <c r="Q68" s="185"/>
      <c r="R68" s="185"/>
      <c r="S68" s="185"/>
      <c r="T68" s="185"/>
      <c r="U68" s="185"/>
      <c r="V68" s="2023"/>
      <c r="W68" s="2024"/>
    </row>
    <row r="69" spans="1:23" ht="24.95" customHeight="1">
      <c r="A69" s="216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28"/>
      <c r="M69" s="1010"/>
      <c r="N69" s="227"/>
      <c r="O69" s="185"/>
      <c r="P69" s="185"/>
      <c r="Q69" s="185"/>
      <c r="R69" s="185"/>
      <c r="S69" s="185"/>
      <c r="T69" s="185"/>
      <c r="U69" s="185"/>
      <c r="V69" s="2023"/>
      <c r="W69" s="2024"/>
    </row>
    <row r="70" spans="1:23" ht="24.95" customHeight="1">
      <c r="A70" s="216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28"/>
      <c r="M70" s="1010"/>
      <c r="N70" s="227"/>
      <c r="O70" s="454"/>
      <c r="P70" s="454"/>
      <c r="Q70" s="454"/>
      <c r="R70" s="454"/>
      <c r="S70" s="454"/>
      <c r="T70" s="454"/>
      <c r="U70" s="454"/>
      <c r="V70" s="2023"/>
      <c r="W70" s="2024"/>
    </row>
    <row r="71" spans="1:23" ht="24.95" customHeight="1" thickBot="1">
      <c r="A71" s="216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8"/>
      <c r="M71" s="1011"/>
      <c r="N71" s="1012"/>
      <c r="O71" s="1013"/>
      <c r="P71" s="1013"/>
      <c r="Q71" s="1013"/>
      <c r="R71" s="1013"/>
      <c r="S71" s="1013"/>
      <c r="T71" s="1013"/>
      <c r="U71" s="1013"/>
      <c r="V71" s="2040"/>
      <c r="W71" s="2041"/>
    </row>
    <row r="72" spans="1:23" ht="24.95" customHeight="1">
      <c r="A72" s="216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1"/>
      <c r="M72" s="1983" t="s">
        <v>331</v>
      </c>
      <c r="N72" s="1984"/>
      <c r="O72" s="1984"/>
      <c r="P72" s="1984"/>
      <c r="Q72" s="1984"/>
      <c r="R72" s="1984"/>
      <c r="S72" s="1984"/>
      <c r="T72" s="1984"/>
      <c r="U72" s="1984"/>
      <c r="V72" s="1984"/>
      <c r="W72" s="1985"/>
    </row>
    <row r="73" spans="1:23" ht="24.95" customHeight="1" thickBot="1">
      <c r="A73" s="216"/>
      <c r="B73" s="219"/>
      <c r="C73" s="219"/>
      <c r="D73" s="185"/>
      <c r="E73" s="185"/>
      <c r="F73" s="185"/>
      <c r="G73" s="185"/>
      <c r="H73" s="219"/>
      <c r="I73" s="219"/>
      <c r="J73" s="219"/>
      <c r="K73" s="219"/>
      <c r="L73" s="211"/>
      <c r="M73" s="1986"/>
      <c r="N73" s="1987"/>
      <c r="O73" s="1987"/>
      <c r="P73" s="1987"/>
      <c r="Q73" s="1987"/>
      <c r="R73" s="1987"/>
      <c r="S73" s="1987"/>
      <c r="T73" s="1987"/>
      <c r="U73" s="1987"/>
      <c r="V73" s="1987"/>
      <c r="W73" s="1988"/>
    </row>
    <row r="74" spans="1:23" ht="24.95" customHeight="1">
      <c r="A74" s="216"/>
      <c r="B74" s="219"/>
      <c r="C74" s="219"/>
      <c r="D74" s="185"/>
      <c r="E74" s="185"/>
      <c r="F74" s="185"/>
      <c r="G74" s="185"/>
      <c r="H74" s="219"/>
      <c r="I74" s="219"/>
      <c r="J74" s="219"/>
      <c r="K74" s="219"/>
      <c r="L74" s="211"/>
      <c r="M74" s="2043" t="s">
        <v>938</v>
      </c>
      <c r="N74" s="2044"/>
      <c r="O74" s="2044"/>
      <c r="P74" s="2044"/>
      <c r="Q74" s="2007"/>
      <c r="R74" s="2045" t="s">
        <v>538</v>
      </c>
      <c r="S74" s="2046"/>
      <c r="T74" s="607"/>
      <c r="U74" s="651" t="s">
        <v>332</v>
      </c>
      <c r="V74" s="215" t="s">
        <v>289</v>
      </c>
      <c r="W74" s="230"/>
    </row>
    <row r="75" spans="1:23" ht="24.95" customHeight="1">
      <c r="A75" s="232"/>
      <c r="B75" s="219"/>
      <c r="C75" s="219"/>
      <c r="D75" s="667"/>
      <c r="E75" s="667"/>
      <c r="F75" s="667"/>
      <c r="G75" s="667"/>
      <c r="H75" s="667"/>
      <c r="I75" s="667"/>
      <c r="J75" s="219"/>
      <c r="K75" s="219"/>
      <c r="L75" s="972"/>
      <c r="M75" s="1950" t="s">
        <v>939</v>
      </c>
      <c r="N75" s="1951"/>
      <c r="O75" s="1951"/>
      <c r="P75" s="1951"/>
      <c r="Q75" s="1952"/>
      <c r="R75" s="2008" t="s">
        <v>413</v>
      </c>
      <c r="S75" s="2009"/>
      <c r="T75" s="231"/>
      <c r="U75" s="651" t="s">
        <v>491</v>
      </c>
      <c r="V75" s="185"/>
      <c r="W75" s="603"/>
    </row>
    <row r="76" spans="1:23" ht="24.95" customHeight="1">
      <c r="A76" s="235"/>
      <c r="B76" s="219"/>
      <c r="C76" s="219"/>
      <c r="D76" s="667"/>
      <c r="E76" s="667"/>
      <c r="F76" s="667"/>
      <c r="G76" s="667"/>
      <c r="H76" s="667"/>
      <c r="I76" s="667"/>
      <c r="J76" s="219"/>
      <c r="K76" s="219"/>
      <c r="L76" s="972"/>
      <c r="M76" s="1995" t="str">
        <f>A29</f>
        <v>อำเภอกุฉินารายณ์     จังหวัดกาฬสินธุ์</v>
      </c>
      <c r="N76" s="1996"/>
      <c r="O76" s="1996"/>
      <c r="P76" s="1996"/>
      <c r="Q76" s="1955"/>
      <c r="R76" s="1948" t="s">
        <v>489</v>
      </c>
      <c r="S76" s="1949"/>
      <c r="T76" s="231"/>
      <c r="U76" s="651" t="s">
        <v>333</v>
      </c>
      <c r="V76" s="234"/>
      <c r="W76" s="652" t="s">
        <v>334</v>
      </c>
    </row>
    <row r="77" spans="1:23" ht="24.95" customHeight="1">
      <c r="A77" s="235"/>
      <c r="B77" s="971"/>
      <c r="C77" s="215"/>
      <c r="D77" s="215"/>
      <c r="E77" s="185"/>
      <c r="F77" s="185"/>
      <c r="G77" s="185"/>
      <c r="H77" s="185"/>
      <c r="I77" s="215"/>
      <c r="J77" s="215"/>
      <c r="K77" s="215"/>
      <c r="L77" s="972"/>
      <c r="M77" s="970" t="s">
        <v>335</v>
      </c>
      <c r="N77" s="185"/>
      <c r="O77" s="185"/>
      <c r="P77" s="185"/>
      <c r="Q77" s="185"/>
      <c r="R77" s="1948" t="s">
        <v>414</v>
      </c>
      <c r="S77" s="1949"/>
      <c r="T77" s="237"/>
      <c r="U77" s="651" t="s">
        <v>492</v>
      </c>
      <c r="V77" s="654" t="s">
        <v>336</v>
      </c>
      <c r="W77" s="230"/>
    </row>
    <row r="78" spans="1:23" ht="24.95" customHeight="1">
      <c r="A78" s="235"/>
      <c r="B78" s="215"/>
      <c r="C78" s="215"/>
      <c r="D78" s="215"/>
      <c r="E78" s="185"/>
      <c r="F78" s="185"/>
      <c r="G78" s="185"/>
      <c r="H78" s="185"/>
      <c r="I78" s="215"/>
      <c r="J78" s="215"/>
      <c r="K78" s="215"/>
      <c r="L78" s="211"/>
      <c r="M78" s="1950" t="s">
        <v>328</v>
      </c>
      <c r="N78" s="1951"/>
      <c r="O78" s="1951"/>
      <c r="P78" s="1951"/>
      <c r="Q78" s="1952"/>
      <c r="R78" s="1948" t="s">
        <v>290</v>
      </c>
      <c r="S78" s="1949"/>
      <c r="T78" s="238"/>
      <c r="U78" s="651" t="s">
        <v>337</v>
      </c>
      <c r="V78" s="239"/>
      <c r="W78" s="230"/>
    </row>
    <row r="79" spans="1:23" ht="24.95" customHeight="1" thickBot="1">
      <c r="A79" s="240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2"/>
      <c r="M79" s="1962" t="s">
        <v>937</v>
      </c>
      <c r="N79" s="1963"/>
      <c r="O79" s="1964" t="s">
        <v>954</v>
      </c>
      <c r="P79" s="1965"/>
      <c r="Q79" s="1966"/>
      <c r="R79" s="1964" t="s">
        <v>955</v>
      </c>
      <c r="S79" s="1966"/>
      <c r="T79" s="1970">
        <v>41604</v>
      </c>
      <c r="U79" s="1971"/>
      <c r="V79" s="243"/>
      <c r="W79" s="653" t="s">
        <v>338</v>
      </c>
    </row>
    <row r="80" spans="1:23" ht="24.95" customHeight="1">
      <c r="A80" s="2015" t="str">
        <f>A48</f>
        <v>ชื่อสายทาง : กส.2008   แยกทางหลวงหมายเลข 12 - บ้านโพนนาดี</v>
      </c>
      <c r="B80" s="2016"/>
      <c r="C80" s="2016"/>
      <c r="D80" s="2016"/>
      <c r="E80" s="2016"/>
      <c r="F80" s="2016"/>
      <c r="G80" s="2016"/>
      <c r="H80" s="2016"/>
      <c r="I80" s="2016"/>
      <c r="J80" s="2016"/>
      <c r="K80" s="2016"/>
      <c r="L80" s="2016"/>
      <c r="M80" s="2016"/>
      <c r="N80" s="2016"/>
      <c r="O80" s="2016"/>
      <c r="P80" s="2016"/>
      <c r="Q80" s="2016"/>
      <c r="R80" s="2016"/>
      <c r="S80" s="2016"/>
      <c r="T80" s="2016"/>
      <c r="U80" s="2016"/>
      <c r="V80" s="2016"/>
      <c r="W80" s="2017"/>
    </row>
    <row r="81" spans="1:23" ht="24.95" customHeight="1">
      <c r="A81" s="2018"/>
      <c r="B81" s="2019"/>
      <c r="C81" s="2019"/>
      <c r="D81" s="2019"/>
      <c r="E81" s="2019"/>
      <c r="F81" s="2019"/>
      <c r="G81" s="2019"/>
      <c r="H81" s="2019"/>
      <c r="I81" s="2019"/>
      <c r="J81" s="2019"/>
      <c r="K81" s="2019"/>
      <c r="L81" s="2019"/>
      <c r="M81" s="2019"/>
      <c r="N81" s="2019"/>
      <c r="O81" s="2019"/>
      <c r="P81" s="2019"/>
      <c r="Q81" s="2019"/>
      <c r="R81" s="2019"/>
      <c r="S81" s="2019"/>
      <c r="T81" s="2019"/>
      <c r="U81" s="2019"/>
      <c r="V81" s="2019"/>
      <c r="W81" s="2020"/>
    </row>
    <row r="82" spans="1:23" ht="15" customHeight="1">
      <c r="A82" s="2012" t="str">
        <f>A29</f>
        <v>อำเภอกุฉินารายณ์     จังหวัดกาฬสินธุ์</v>
      </c>
      <c r="B82" s="2013"/>
      <c r="C82" s="2013"/>
      <c r="D82" s="2013"/>
      <c r="E82" s="2013"/>
      <c r="F82" s="2013"/>
      <c r="G82" s="2013"/>
      <c r="H82" s="2013"/>
      <c r="I82" s="2013"/>
      <c r="J82" s="2013"/>
      <c r="K82" s="2013"/>
      <c r="L82" s="2013"/>
      <c r="M82" s="2013"/>
      <c r="N82" s="2013"/>
      <c r="O82" s="2013"/>
      <c r="P82" s="2013"/>
      <c r="Q82" s="2013"/>
      <c r="R82" s="2013"/>
      <c r="S82" s="2013"/>
      <c r="T82" s="2013"/>
      <c r="U82" s="2013"/>
      <c r="V82" s="2013"/>
      <c r="W82" s="2014"/>
    </row>
    <row r="83" spans="1:23" ht="24.95" customHeight="1">
      <c r="A83" s="2012"/>
      <c r="B83" s="2013"/>
      <c r="C83" s="2013"/>
      <c r="D83" s="2013"/>
      <c r="E83" s="2013"/>
      <c r="F83" s="2013"/>
      <c r="G83" s="2013"/>
      <c r="H83" s="2013"/>
      <c r="I83" s="2013"/>
      <c r="J83" s="2013"/>
      <c r="K83" s="2013"/>
      <c r="L83" s="2013"/>
      <c r="M83" s="2013"/>
      <c r="N83" s="2013"/>
      <c r="O83" s="2013"/>
      <c r="P83" s="2013"/>
      <c r="Q83" s="2013"/>
      <c r="R83" s="2013"/>
      <c r="S83" s="2013"/>
      <c r="T83" s="2013"/>
      <c r="U83" s="2013"/>
      <c r="V83" s="2013"/>
      <c r="W83" s="2014"/>
    </row>
    <row r="84" spans="1:23" ht="15" customHeight="1">
      <c r="A84" s="2012"/>
      <c r="B84" s="2013"/>
      <c r="C84" s="2013"/>
      <c r="D84" s="2013"/>
      <c r="E84" s="2013"/>
      <c r="F84" s="2013"/>
      <c r="G84" s="2013"/>
      <c r="H84" s="2013"/>
      <c r="I84" s="2013"/>
      <c r="J84" s="2013"/>
      <c r="K84" s="2013"/>
      <c r="L84" s="2013"/>
      <c r="M84" s="2013"/>
      <c r="N84" s="2013"/>
      <c r="O84" s="2013"/>
      <c r="P84" s="2013"/>
      <c r="Q84" s="2013"/>
      <c r="R84" s="2013"/>
      <c r="S84" s="2013"/>
      <c r="T84" s="2013"/>
      <c r="U84" s="2013"/>
      <c r="V84" s="2013"/>
      <c r="W84" s="2014"/>
    </row>
    <row r="85" spans="1:23" ht="24.95" customHeight="1">
      <c r="A85" s="235"/>
      <c r="B85" s="215"/>
      <c r="C85" s="215"/>
      <c r="D85" s="215"/>
      <c r="E85" s="215"/>
      <c r="F85" s="252"/>
      <c r="G85" s="252"/>
      <c r="H85" s="251"/>
      <c r="K85" s="196" t="s">
        <v>324</v>
      </c>
      <c r="L85" s="1959" t="e">
        <f>$F$51</f>
        <v>#REF!</v>
      </c>
      <c r="M85" s="1959"/>
      <c r="N85" s="196" t="s">
        <v>302</v>
      </c>
      <c r="P85" s="640"/>
      <c r="Q85" s="252"/>
      <c r="R85" s="215"/>
      <c r="S85" s="215"/>
      <c r="T85" s="215"/>
      <c r="U85" s="215"/>
      <c r="V85" s="215"/>
      <c r="W85" s="253"/>
    </row>
    <row r="86" spans="1:23" ht="24.95" customHeight="1">
      <c r="A86" s="235"/>
      <c r="B86" s="215"/>
      <c r="C86" s="215"/>
      <c r="D86" s="215"/>
      <c r="E86" s="215"/>
      <c r="G86" s="2022"/>
      <c r="H86" s="2022"/>
      <c r="I86" s="2022"/>
      <c r="J86" s="2022"/>
      <c r="K86" s="2022"/>
      <c r="L86" s="2022"/>
      <c r="M86" s="2022"/>
      <c r="N86" s="1960"/>
      <c r="O86" s="1960"/>
      <c r="P86" s="1961"/>
      <c r="Q86" s="1961"/>
      <c r="R86" s="2021"/>
      <c r="S86" s="215"/>
      <c r="T86" s="215"/>
      <c r="U86" s="215"/>
      <c r="V86" s="215"/>
      <c r="W86" s="253"/>
    </row>
    <row r="87" spans="1:23" ht="24.95" customHeight="1">
      <c r="A87" s="235"/>
      <c r="B87" s="215"/>
      <c r="C87" s="215"/>
      <c r="D87" s="215"/>
      <c r="E87" s="215"/>
      <c r="F87" s="252"/>
      <c r="G87" s="2022"/>
      <c r="H87" s="2022"/>
      <c r="I87" s="2022"/>
      <c r="J87" s="2022"/>
      <c r="K87" s="2022"/>
      <c r="L87" s="2022"/>
      <c r="M87" s="2022"/>
      <c r="N87" s="1960"/>
      <c r="O87" s="1960"/>
      <c r="P87" s="1961"/>
      <c r="Q87" s="1961"/>
      <c r="R87" s="2021"/>
      <c r="S87" s="215"/>
      <c r="T87" s="215"/>
      <c r="U87" s="215"/>
      <c r="V87" s="215"/>
      <c r="W87" s="253"/>
    </row>
    <row r="88" spans="1:23" ht="24.95" customHeight="1">
      <c r="A88" s="254"/>
      <c r="B88" s="215"/>
      <c r="C88" s="215"/>
      <c r="D88" s="215"/>
      <c r="E88" s="215"/>
      <c r="F88" s="215"/>
      <c r="G88" s="215"/>
      <c r="H88" s="215"/>
      <c r="I88" s="215"/>
      <c r="J88" s="1953"/>
      <c r="K88" s="1953"/>
      <c r="L88" s="255"/>
      <c r="M88" s="215"/>
      <c r="N88" s="215"/>
      <c r="O88" s="215"/>
      <c r="P88" s="215"/>
      <c r="Q88" s="215"/>
      <c r="R88" s="215"/>
      <c r="S88" s="215"/>
      <c r="T88" s="215"/>
      <c r="U88" s="215"/>
      <c r="V88" s="178"/>
      <c r="W88" s="253"/>
    </row>
    <row r="89" spans="1:23" ht="24.95" customHeight="1">
      <c r="A89" s="235"/>
      <c r="B89" s="215"/>
      <c r="C89" s="215"/>
      <c r="D89" s="215"/>
      <c r="E89" s="215"/>
      <c r="F89" s="236"/>
      <c r="G89" s="215"/>
      <c r="H89" s="215"/>
      <c r="I89" s="215"/>
      <c r="J89" s="256"/>
      <c r="K89" s="666"/>
      <c r="L89" s="973">
        <v>8</v>
      </c>
      <c r="M89" s="215"/>
      <c r="N89" s="215"/>
      <c r="O89" s="236"/>
      <c r="P89" s="215"/>
      <c r="Q89" s="215"/>
      <c r="R89" s="215"/>
      <c r="S89" s="215"/>
      <c r="T89" s="215"/>
      <c r="U89" s="215"/>
      <c r="V89" s="178"/>
      <c r="W89" s="253"/>
    </row>
    <row r="90" spans="1:23" ht="24.95" customHeight="1">
      <c r="A90" s="235"/>
      <c r="B90" s="215"/>
      <c r="C90" s="215"/>
      <c r="D90" s="215"/>
      <c r="E90" s="215"/>
      <c r="F90" s="236"/>
      <c r="G90" s="257"/>
      <c r="H90" s="215"/>
      <c r="I90" s="215"/>
      <c r="J90" s="1953"/>
      <c r="K90" s="1953"/>
      <c r="L90" s="257"/>
      <c r="M90" s="215"/>
      <c r="N90" s="215"/>
      <c r="O90" s="236"/>
      <c r="P90" s="257"/>
      <c r="Q90" s="215"/>
      <c r="R90" s="215"/>
      <c r="S90" s="215"/>
      <c r="T90" s="215"/>
      <c r="U90" s="215"/>
      <c r="V90" s="178"/>
      <c r="W90" s="253"/>
    </row>
    <row r="91" spans="1:23" ht="24.95" customHeight="1">
      <c r="A91" s="258"/>
      <c r="B91" s="259"/>
      <c r="C91" s="259"/>
      <c r="D91" s="215"/>
      <c r="E91" s="215"/>
      <c r="F91" s="257"/>
      <c r="H91" s="1947">
        <v>1</v>
      </c>
      <c r="I91" s="1947"/>
      <c r="J91" s="257"/>
      <c r="K91" s="666"/>
      <c r="L91" s="647">
        <v>6</v>
      </c>
      <c r="M91" s="260"/>
      <c r="N91" s="260"/>
      <c r="P91" s="644"/>
      <c r="Q91" s="977">
        <v>1</v>
      </c>
      <c r="R91" s="215"/>
      <c r="S91" s="215"/>
      <c r="T91" s="215"/>
      <c r="U91" s="215"/>
      <c r="V91" s="178"/>
      <c r="W91" s="253"/>
    </row>
    <row r="92" spans="1:23" ht="24.95" customHeight="1">
      <c r="A92" s="261"/>
      <c r="B92" s="262"/>
      <c r="C92" s="215"/>
      <c r="D92" s="263"/>
      <c r="E92" s="264"/>
      <c r="F92" s="265"/>
      <c r="G92" s="266"/>
      <c r="H92" s="267"/>
      <c r="I92" s="268"/>
      <c r="J92" s="236"/>
      <c r="K92" s="269"/>
      <c r="L92" s="270"/>
      <c r="M92" s="215"/>
      <c r="N92" s="271"/>
      <c r="O92" s="270"/>
      <c r="P92" s="215"/>
      <c r="Q92" s="215"/>
      <c r="R92" s="215"/>
      <c r="S92" s="215"/>
      <c r="T92" s="215"/>
      <c r="U92" s="215"/>
      <c r="V92" s="178"/>
      <c r="W92" s="253"/>
    </row>
    <row r="93" spans="1:23" ht="24.95" customHeight="1">
      <c r="A93" s="235"/>
      <c r="B93" s="215"/>
      <c r="C93" s="178"/>
      <c r="D93" s="272"/>
      <c r="E93" s="264"/>
      <c r="F93" s="273"/>
      <c r="G93" s="178"/>
      <c r="H93" s="215"/>
      <c r="I93" s="215"/>
      <c r="J93" s="215"/>
      <c r="K93" s="215"/>
      <c r="L93" s="215"/>
      <c r="M93" s="215"/>
      <c r="N93" s="274"/>
      <c r="O93" s="274"/>
      <c r="P93" s="275"/>
      <c r="Q93" s="2010"/>
      <c r="R93" s="275"/>
      <c r="S93" s="275"/>
      <c r="T93" s="276"/>
      <c r="U93" s="215"/>
      <c r="V93" s="178"/>
      <c r="W93" s="253"/>
    </row>
    <row r="94" spans="1:23" ht="24.95" customHeight="1">
      <c r="A94" s="235"/>
      <c r="B94" s="215"/>
      <c r="C94" s="277"/>
      <c r="D94" s="272"/>
      <c r="E94" s="264"/>
      <c r="F94" s="178"/>
      <c r="G94" s="215"/>
      <c r="H94" s="215"/>
      <c r="I94" s="215"/>
      <c r="J94" s="215"/>
      <c r="K94" s="215"/>
      <c r="L94" s="215"/>
      <c r="M94" s="215"/>
      <c r="N94" s="215"/>
      <c r="O94" s="275"/>
      <c r="P94" s="275"/>
      <c r="Q94" s="2010"/>
      <c r="R94" s="275"/>
      <c r="S94" s="275"/>
      <c r="T94" s="276"/>
      <c r="U94" s="278"/>
      <c r="V94" s="178"/>
      <c r="W94" s="253"/>
    </row>
    <row r="95" spans="1:23" ht="24.95" customHeight="1">
      <c r="A95" s="279"/>
      <c r="B95" s="257"/>
      <c r="C95" s="257"/>
      <c r="D95" s="257"/>
      <c r="E95" s="215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75"/>
      <c r="R95" s="275"/>
      <c r="S95" s="275"/>
      <c r="T95" s="215"/>
      <c r="U95" s="215"/>
      <c r="V95" s="178"/>
      <c r="W95" s="253"/>
    </row>
    <row r="96" spans="1:23" ht="24.95" customHeight="1">
      <c r="A96" s="235"/>
      <c r="B96" s="215"/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178"/>
      <c r="W96" s="253"/>
    </row>
    <row r="97" spans="1:23" ht="24.95" customHeight="1">
      <c r="A97" s="235"/>
      <c r="B97" s="215"/>
      <c r="C97" s="215"/>
      <c r="D97" s="215"/>
      <c r="E97" s="215"/>
      <c r="F97" s="215"/>
      <c r="G97" s="178"/>
      <c r="H97" s="215"/>
      <c r="I97" s="215"/>
      <c r="J97" s="215"/>
      <c r="L97" s="215"/>
      <c r="M97" s="215"/>
      <c r="Q97" s="215"/>
      <c r="S97" s="215"/>
      <c r="T97" s="215"/>
      <c r="U97" s="215"/>
      <c r="V97" s="215"/>
      <c r="W97" s="253"/>
    </row>
    <row r="98" spans="1:23" ht="24.95" customHeight="1">
      <c r="A98" s="180"/>
      <c r="B98" s="280"/>
      <c r="C98" s="280"/>
      <c r="D98" s="280"/>
      <c r="E98" s="280"/>
      <c r="F98" s="215"/>
      <c r="G98" s="215"/>
      <c r="J98" s="615" t="s">
        <v>942</v>
      </c>
      <c r="L98" s="215"/>
      <c r="M98" s="215"/>
      <c r="P98" s="286" t="s">
        <v>940</v>
      </c>
      <c r="Q98" s="215"/>
      <c r="R98" s="215"/>
      <c r="V98" s="215"/>
      <c r="W98" s="253"/>
    </row>
    <row r="99" spans="1:23" ht="24.95" customHeight="1">
      <c r="A99" s="180"/>
      <c r="B99" s="215"/>
      <c r="C99" s="281"/>
      <c r="F99" s="215"/>
      <c r="H99" s="215"/>
      <c r="K99" s="215" t="s">
        <v>339</v>
      </c>
      <c r="M99" s="215"/>
      <c r="P99" s="215" t="s">
        <v>947</v>
      </c>
      <c r="Q99" s="215"/>
      <c r="R99" s="215"/>
      <c r="S99" s="606" t="e">
        <f>#REF!</f>
        <v>#REF!</v>
      </c>
      <c r="T99" s="301" t="s">
        <v>182</v>
      </c>
      <c r="V99" s="215"/>
      <c r="W99" s="253"/>
    </row>
    <row r="100" spans="1:23" ht="24.95" customHeight="1">
      <c r="A100" s="235"/>
      <c r="B100" s="215"/>
      <c r="C100" s="215"/>
      <c r="E100" s="615"/>
      <c r="F100" s="215"/>
      <c r="L100" s="215"/>
      <c r="M100" s="215"/>
      <c r="P100" s="215" t="s">
        <v>340</v>
      </c>
      <c r="Q100" s="215"/>
      <c r="R100" s="215"/>
      <c r="S100" s="215"/>
      <c r="T100" s="215"/>
      <c r="U100" s="215"/>
      <c r="V100" s="215"/>
      <c r="W100" s="253"/>
    </row>
    <row r="101" spans="1:23" ht="24.95" customHeight="1">
      <c r="A101" s="282"/>
      <c r="B101" s="233"/>
      <c r="C101" s="233"/>
      <c r="F101" s="233"/>
      <c r="G101" s="215"/>
      <c r="I101" s="1002" t="s">
        <v>943</v>
      </c>
      <c r="K101" s="215"/>
      <c r="L101" s="215"/>
      <c r="M101" s="215"/>
      <c r="P101" s="215" t="s">
        <v>946</v>
      </c>
      <c r="Q101" s="215"/>
      <c r="S101" s="310" t="e">
        <f>#REF!</f>
        <v>#REF!</v>
      </c>
      <c r="T101" s="215" t="s">
        <v>344</v>
      </c>
      <c r="U101" s="262"/>
      <c r="V101" s="283"/>
      <c r="W101" s="253"/>
    </row>
    <row r="102" spans="1:23" ht="24.95" customHeight="1">
      <c r="A102" s="284"/>
      <c r="B102" s="215"/>
      <c r="C102" s="224"/>
      <c r="F102" s="225"/>
      <c r="G102" s="215"/>
      <c r="I102" s="1002" t="s">
        <v>944</v>
      </c>
      <c r="K102" s="215"/>
      <c r="L102" s="215"/>
      <c r="M102" s="215"/>
      <c r="O102" s="215" t="s">
        <v>342</v>
      </c>
      <c r="Q102" s="215"/>
      <c r="R102" s="215"/>
      <c r="S102" s="215"/>
      <c r="T102" s="215"/>
      <c r="U102" s="215"/>
      <c r="V102" s="215"/>
      <c r="W102" s="253"/>
    </row>
    <row r="103" spans="1:23" ht="24.95" customHeight="1">
      <c r="A103" s="284"/>
      <c r="B103" s="215"/>
      <c r="C103" s="224"/>
      <c r="F103" s="225"/>
      <c r="G103" s="185"/>
      <c r="I103" s="657" t="s">
        <v>945</v>
      </c>
      <c r="K103" s="215"/>
      <c r="L103" s="215"/>
      <c r="M103" s="215"/>
      <c r="O103" s="215" t="s">
        <v>502</v>
      </c>
      <c r="Q103" s="215"/>
      <c r="R103" s="215"/>
      <c r="S103" s="215"/>
      <c r="W103" s="253"/>
    </row>
    <row r="104" spans="1:23" ht="24.95" customHeight="1">
      <c r="A104" s="284"/>
      <c r="B104" s="215"/>
      <c r="C104" s="224"/>
      <c r="D104" s="225"/>
      <c r="F104" s="225"/>
      <c r="G104" s="185"/>
      <c r="I104" s="657" t="s">
        <v>941</v>
      </c>
      <c r="J104" s="225"/>
      <c r="K104" s="215"/>
      <c r="L104" s="215"/>
      <c r="M104" s="215"/>
      <c r="O104" s="286" t="s">
        <v>343</v>
      </c>
      <c r="Q104" s="215"/>
      <c r="R104" s="215"/>
      <c r="S104" s="215"/>
      <c r="T104" s="215"/>
      <c r="U104" s="215"/>
      <c r="V104" s="215"/>
      <c r="W104" s="253"/>
    </row>
    <row r="105" spans="1:23" ht="24.95" customHeight="1">
      <c r="A105" s="284"/>
      <c r="B105" s="215"/>
      <c r="C105" s="224"/>
      <c r="D105" s="224"/>
      <c r="E105" s="224"/>
      <c r="F105" s="225"/>
      <c r="G105" s="185"/>
      <c r="H105" s="285"/>
      <c r="I105" s="215" t="s">
        <v>412</v>
      </c>
      <c r="J105" s="225"/>
      <c r="K105" s="215"/>
      <c r="L105" s="215"/>
      <c r="M105" s="215"/>
      <c r="O105" s="215" t="s">
        <v>341</v>
      </c>
      <c r="Q105" s="215"/>
      <c r="R105" s="215"/>
      <c r="S105" s="215"/>
      <c r="T105" s="215"/>
      <c r="U105" s="215"/>
      <c r="V105" s="178"/>
      <c r="W105" s="253"/>
    </row>
    <row r="106" spans="1:23" ht="24.95" customHeight="1">
      <c r="A106" s="235"/>
      <c r="B106" s="287"/>
      <c r="C106" s="288"/>
      <c r="D106" s="289"/>
      <c r="E106" s="289"/>
      <c r="F106" s="289"/>
      <c r="G106" s="289"/>
      <c r="H106" s="288"/>
      <c r="I106" s="290"/>
      <c r="J106" s="225"/>
      <c r="K106" s="287"/>
      <c r="L106" s="288"/>
      <c r="M106" s="289"/>
      <c r="O106" s="215"/>
      <c r="P106" s="215"/>
      <c r="Q106" s="288"/>
      <c r="R106" s="290"/>
      <c r="S106" s="290"/>
      <c r="T106" s="215"/>
      <c r="U106" s="215"/>
      <c r="V106" s="215"/>
      <c r="W106" s="253"/>
    </row>
    <row r="107" spans="1:23" ht="24.95" customHeight="1">
      <c r="A107" s="235"/>
      <c r="B107" s="233"/>
      <c r="C107" s="233"/>
      <c r="D107" s="233"/>
      <c r="E107" s="233"/>
      <c r="F107" s="233"/>
      <c r="G107" s="233"/>
      <c r="H107" s="233"/>
      <c r="I107" s="233"/>
      <c r="J107" s="178"/>
      <c r="K107" s="233"/>
      <c r="L107" s="233"/>
      <c r="M107" s="233"/>
      <c r="N107" s="233"/>
      <c r="P107" s="233"/>
      <c r="Q107" s="233"/>
      <c r="R107" s="2011"/>
      <c r="S107" s="2011"/>
      <c r="T107" s="2011"/>
      <c r="U107" s="215"/>
      <c r="V107" s="215"/>
      <c r="W107" s="253"/>
    </row>
    <row r="108" spans="1:23" ht="24.95" customHeight="1">
      <c r="A108" s="235"/>
      <c r="B108" s="291"/>
      <c r="C108" s="292" t="s">
        <v>540</v>
      </c>
      <c r="D108" s="293"/>
      <c r="E108" s="293"/>
      <c r="F108" s="294"/>
      <c r="G108" s="293"/>
      <c r="H108" s="295"/>
      <c r="I108" s="296"/>
      <c r="J108" s="185"/>
      <c r="K108" s="297"/>
      <c r="L108" s="294"/>
      <c r="M108" s="298"/>
      <c r="N108" s="293"/>
      <c r="O108" s="294"/>
      <c r="P108" s="293"/>
      <c r="Q108" s="228"/>
      <c r="R108" s="294"/>
      <c r="S108" s="294"/>
      <c r="T108" s="294"/>
      <c r="U108" s="294"/>
      <c r="V108" s="294"/>
      <c r="W108" s="253"/>
    </row>
    <row r="109" spans="1:23" ht="24.95" customHeight="1">
      <c r="A109" s="235"/>
      <c r="B109" s="297"/>
      <c r="C109" s="292" t="s">
        <v>345</v>
      </c>
      <c r="D109" s="293"/>
      <c r="E109" s="293"/>
      <c r="F109" s="294"/>
      <c r="G109" s="293"/>
      <c r="H109" s="295"/>
      <c r="I109" s="296"/>
      <c r="J109" s="185"/>
      <c r="K109" s="297"/>
      <c r="L109" s="299"/>
      <c r="M109" s="293"/>
      <c r="N109" s="293"/>
      <c r="O109" s="294"/>
      <c r="P109" s="293"/>
      <c r="Q109" s="300"/>
      <c r="R109" s="300"/>
      <c r="S109" s="300"/>
      <c r="T109" s="294"/>
      <c r="U109" s="294"/>
      <c r="V109" s="294"/>
      <c r="W109" s="253"/>
    </row>
    <row r="110" spans="1:23" ht="24.95" customHeight="1">
      <c r="A110" s="235"/>
      <c r="B110" s="297"/>
      <c r="D110" s="293"/>
      <c r="E110" s="293"/>
      <c r="F110" s="294"/>
      <c r="G110" s="293"/>
      <c r="H110" s="295"/>
      <c r="I110" s="293"/>
      <c r="J110" s="301"/>
      <c r="K110" s="225"/>
      <c r="L110" s="225"/>
      <c r="M110" s="298"/>
      <c r="N110" s="302" t="s">
        <v>15</v>
      </c>
      <c r="O110" s="303" t="s">
        <v>346</v>
      </c>
      <c r="P110" s="304"/>
      <c r="Q110" s="305"/>
      <c r="R110" s="305"/>
      <c r="S110" s="211"/>
      <c r="T110" s="211"/>
      <c r="U110" s="211"/>
      <c r="V110" s="211"/>
      <c r="W110" s="209"/>
    </row>
    <row r="111" spans="1:23" ht="24.95" customHeight="1">
      <c r="A111" s="235"/>
      <c r="B111" s="297"/>
      <c r="C111" s="306" t="s">
        <v>15</v>
      </c>
      <c r="D111" s="293"/>
      <c r="E111" s="293"/>
      <c r="F111" s="294"/>
      <c r="G111" s="293"/>
      <c r="H111" s="295"/>
      <c r="I111" s="293"/>
      <c r="J111" s="301"/>
      <c r="K111" s="225"/>
      <c r="L111" s="225"/>
      <c r="M111" s="298"/>
      <c r="N111" s="303"/>
      <c r="O111" s="307" t="s">
        <v>347</v>
      </c>
      <c r="P111" s="304"/>
      <c r="Q111" s="305"/>
      <c r="R111" s="305"/>
      <c r="S111" s="211"/>
      <c r="T111" s="211"/>
      <c r="U111" s="211"/>
      <c r="V111" s="211"/>
      <c r="W111" s="209"/>
    </row>
    <row r="112" spans="1:23" ht="24.95" customHeight="1" thickBot="1">
      <c r="A112" s="235"/>
      <c r="B112" s="297"/>
      <c r="C112" s="308" t="s">
        <v>948</v>
      </c>
      <c r="D112" s="298"/>
      <c r="E112" s="293"/>
      <c r="F112" s="294"/>
      <c r="G112" s="293"/>
      <c r="H112" s="295"/>
      <c r="I112" s="293"/>
      <c r="J112" s="178"/>
      <c r="K112" s="673"/>
      <c r="L112" s="225"/>
      <c r="M112" s="604"/>
      <c r="N112" s="604"/>
      <c r="O112" s="604"/>
      <c r="P112" s="604"/>
      <c r="Q112" s="604"/>
      <c r="R112" s="604"/>
      <c r="S112" s="604"/>
      <c r="T112" s="604"/>
      <c r="U112" s="604"/>
      <c r="V112" s="604"/>
      <c r="W112" s="605"/>
    </row>
    <row r="113" spans="1:23" ht="24.95" customHeight="1">
      <c r="A113" s="235"/>
      <c r="B113" s="297"/>
      <c r="C113" s="308" t="s">
        <v>348</v>
      </c>
      <c r="D113" s="298"/>
      <c r="E113" s="293"/>
      <c r="F113" s="294"/>
      <c r="G113" s="293"/>
      <c r="H113" s="295"/>
      <c r="I113" s="293"/>
      <c r="J113" s="178"/>
      <c r="K113" s="673"/>
      <c r="L113" s="225"/>
      <c r="M113" s="1983" t="s">
        <v>331</v>
      </c>
      <c r="N113" s="1984"/>
      <c r="O113" s="1984"/>
      <c r="P113" s="1984"/>
      <c r="Q113" s="1984"/>
      <c r="R113" s="1984"/>
      <c r="S113" s="1984"/>
      <c r="T113" s="1984"/>
      <c r="U113" s="1984"/>
      <c r="V113" s="1984"/>
      <c r="W113" s="1985"/>
    </row>
    <row r="114" spans="1:23" ht="24.95" customHeight="1" thickBot="1">
      <c r="A114" s="235"/>
      <c r="B114" s="297"/>
      <c r="C114" s="308" t="s">
        <v>349</v>
      </c>
      <c r="D114" s="296"/>
      <c r="E114" s="296"/>
      <c r="F114" s="294"/>
      <c r="G114" s="296"/>
      <c r="H114" s="295"/>
      <c r="I114" s="296"/>
      <c r="J114" s="178"/>
      <c r="K114" s="293"/>
      <c r="L114" s="309"/>
      <c r="M114" s="1986"/>
      <c r="N114" s="1987"/>
      <c r="O114" s="1987"/>
      <c r="P114" s="1987"/>
      <c r="Q114" s="1987"/>
      <c r="R114" s="1987"/>
      <c r="S114" s="1987"/>
      <c r="T114" s="1987"/>
      <c r="U114" s="1987"/>
      <c r="V114" s="1987"/>
      <c r="W114" s="1988"/>
    </row>
    <row r="115" spans="1:23" ht="24.95" customHeight="1">
      <c r="A115" s="235"/>
      <c r="B115" s="297"/>
      <c r="C115" s="308" t="s">
        <v>350</v>
      </c>
      <c r="D115" s="298"/>
      <c r="E115" s="293"/>
      <c r="F115" s="294"/>
      <c r="G115" s="293"/>
      <c r="H115" s="295"/>
      <c r="I115" s="296"/>
      <c r="J115" s="178"/>
      <c r="K115" s="293"/>
      <c r="L115" s="309"/>
      <c r="M115" s="1950" t="str">
        <f>M74</f>
        <v>รหัสสายทาง : กส. 2008</v>
      </c>
      <c r="N115" s="1951"/>
      <c r="O115" s="1951"/>
      <c r="P115" s="1951"/>
      <c r="Q115" s="1952"/>
      <c r="R115" s="2006" t="str">
        <f t="shared" ref="R115:R120" si="0">R74</f>
        <v>นายอภิชัย  ไพรินทร์</v>
      </c>
      <c r="S115" s="2007"/>
      <c r="T115" s="655"/>
      <c r="U115" s="651" t="s">
        <v>332</v>
      </c>
      <c r="V115" s="215" t="s">
        <v>289</v>
      </c>
      <c r="W115" s="253"/>
    </row>
    <row r="116" spans="1:23" ht="24.95" customHeight="1">
      <c r="A116" s="235"/>
      <c r="B116" s="297"/>
      <c r="C116" s="308" t="s">
        <v>351</v>
      </c>
      <c r="D116" s="294"/>
      <c r="E116" s="294"/>
      <c r="F116" s="294"/>
      <c r="G116" s="298"/>
      <c r="H116" s="228"/>
      <c r="I116" s="294"/>
      <c r="J116" s="178"/>
      <c r="K116" s="293"/>
      <c r="L116" s="298"/>
      <c r="M116" s="1950" t="str">
        <f>M75</f>
        <v>ชื่อสายทาง : แยกทางหลวงหมายเลข 12 - บ้านโพนนาดี</v>
      </c>
      <c r="N116" s="1951"/>
      <c r="O116" s="1951"/>
      <c r="P116" s="1951"/>
      <c r="Q116" s="1952"/>
      <c r="R116" s="1948" t="str">
        <f t="shared" si="0"/>
        <v>นางสาวอาติยา  เครือวรรณ</v>
      </c>
      <c r="S116" s="1949"/>
      <c r="T116" s="656"/>
      <c r="U116" s="651" t="s">
        <v>491</v>
      </c>
      <c r="V116" s="657"/>
      <c r="W116" s="658"/>
    </row>
    <row r="117" spans="1:23" ht="24.95" customHeight="1">
      <c r="A117" s="235"/>
      <c r="B117" s="297"/>
      <c r="C117" s="167" t="s">
        <v>546</v>
      </c>
      <c r="D117" s="294"/>
      <c r="E117" s="294"/>
      <c r="F117" s="294"/>
      <c r="G117" s="298"/>
      <c r="H117" s="228"/>
      <c r="I117" s="294"/>
      <c r="J117" s="178"/>
      <c r="K117" s="298"/>
      <c r="L117" s="298"/>
      <c r="M117" s="1995" t="str">
        <f>A29</f>
        <v>อำเภอกุฉินารายณ์     จังหวัดกาฬสินธุ์</v>
      </c>
      <c r="N117" s="1996"/>
      <c r="O117" s="1996"/>
      <c r="P117" s="1996"/>
      <c r="Q117" s="1955"/>
      <c r="R117" s="1948" t="str">
        <f t="shared" si="0"/>
        <v>นายปัญญา  ไพรินทร์</v>
      </c>
      <c r="S117" s="1949"/>
      <c r="T117" s="656"/>
      <c r="U117" s="651" t="s">
        <v>333</v>
      </c>
      <c r="V117" s="646"/>
      <c r="W117" s="652" t="s">
        <v>334</v>
      </c>
    </row>
    <row r="118" spans="1:23" ht="24.95" customHeight="1">
      <c r="A118" s="235"/>
      <c r="B118" s="297"/>
      <c r="C118" s="674" t="s">
        <v>547</v>
      </c>
      <c r="D118" s="294"/>
      <c r="E118" s="294"/>
      <c r="F118" s="294"/>
      <c r="G118" s="298"/>
      <c r="H118" s="228"/>
      <c r="I118" s="294"/>
      <c r="J118" s="178"/>
      <c r="K118" s="310"/>
      <c r="L118" s="298"/>
      <c r="M118" s="645" t="s">
        <v>335</v>
      </c>
      <c r="N118" s="657"/>
      <c r="O118" s="657"/>
      <c r="P118" s="657"/>
      <c r="Q118" s="657"/>
      <c r="R118" s="1948" t="str">
        <f t="shared" si="0"/>
        <v>นายบพิตร  จันทร์เพชร</v>
      </c>
      <c r="S118" s="1949"/>
      <c r="T118" s="659"/>
      <c r="U118" s="651" t="s">
        <v>492</v>
      </c>
      <c r="V118" s="654" t="s">
        <v>336</v>
      </c>
      <c r="W118" s="253"/>
    </row>
    <row r="119" spans="1:23" ht="24.95" customHeight="1">
      <c r="A119" s="235"/>
      <c r="B119" s="297"/>
      <c r="D119" s="298"/>
      <c r="E119" s="293"/>
      <c r="F119" s="294"/>
      <c r="G119" s="293"/>
      <c r="H119" s="228"/>
      <c r="I119" s="294"/>
      <c r="J119" s="178"/>
      <c r="K119" s="310"/>
      <c r="L119" s="236"/>
      <c r="M119" s="1950" t="s">
        <v>541</v>
      </c>
      <c r="N119" s="1951"/>
      <c r="O119" s="1951"/>
      <c r="P119" s="1951"/>
      <c r="Q119" s="1952"/>
      <c r="R119" s="1948" t="str">
        <f t="shared" si="0"/>
        <v>นายสุรศักดิ์  ไกรพินิจ</v>
      </c>
      <c r="S119" s="1949"/>
      <c r="T119" s="660"/>
      <c r="U119" s="651" t="s">
        <v>337</v>
      </c>
      <c r="V119" s="661"/>
      <c r="W119" s="253"/>
    </row>
    <row r="120" spans="1:23" ht="24.95" customHeight="1" thickBot="1">
      <c r="A120" s="240"/>
      <c r="B120" s="311"/>
      <c r="C120" s="312"/>
      <c r="D120" s="313"/>
      <c r="E120" s="314"/>
      <c r="F120" s="312"/>
      <c r="G120" s="314"/>
      <c r="H120" s="315"/>
      <c r="I120" s="312"/>
      <c r="J120" s="190"/>
      <c r="K120" s="241"/>
      <c r="L120" s="190"/>
      <c r="M120" s="1962" t="str">
        <f>M79</f>
        <v>แบบเลขที่ สบณ. 57 - 09</v>
      </c>
      <c r="N120" s="1980"/>
      <c r="O120" s="1964" t="s">
        <v>956</v>
      </c>
      <c r="P120" s="1965"/>
      <c r="Q120" s="1966"/>
      <c r="R120" s="1964" t="str">
        <f t="shared" si="0"/>
        <v>จำนวน  4  แผ่น</v>
      </c>
      <c r="S120" s="1966"/>
      <c r="T120" s="1970">
        <f>T79</f>
        <v>41604</v>
      </c>
      <c r="U120" s="1971"/>
      <c r="V120" s="662"/>
      <c r="W120" s="653" t="s">
        <v>338</v>
      </c>
    </row>
    <row r="121" spans="1:23" ht="15" customHeight="1">
      <c r="A121" s="244"/>
      <c r="B121" s="246"/>
      <c r="C121" s="249"/>
      <c r="D121" s="247"/>
      <c r="E121" s="316"/>
      <c r="F121" s="249"/>
      <c r="G121" s="316"/>
      <c r="H121" s="317"/>
      <c r="I121" s="249"/>
      <c r="J121" s="194"/>
      <c r="K121" s="245"/>
      <c r="L121" s="194"/>
      <c r="M121" s="246"/>
      <c r="N121" s="318"/>
      <c r="O121" s="247"/>
      <c r="P121" s="247"/>
      <c r="Q121" s="247"/>
      <c r="R121" s="247"/>
      <c r="S121" s="247"/>
      <c r="T121" s="248"/>
      <c r="U121" s="248"/>
      <c r="V121" s="249"/>
      <c r="W121" s="250"/>
    </row>
    <row r="122" spans="1:23" s="210" customFormat="1" ht="36.75" customHeight="1">
      <c r="A122" s="1972" t="str">
        <f>A48</f>
        <v>ชื่อสายทาง : กส.2008   แยกทางหลวงหมายเลข 12 - บ้านโพนนาดี</v>
      </c>
      <c r="B122" s="1973"/>
      <c r="C122" s="1973"/>
      <c r="D122" s="1973"/>
      <c r="E122" s="1973"/>
      <c r="F122" s="1973"/>
      <c r="G122" s="1973"/>
      <c r="H122" s="1973"/>
      <c r="I122" s="1973"/>
      <c r="J122" s="1973"/>
      <c r="K122" s="1973"/>
      <c r="L122" s="1973"/>
      <c r="M122" s="1973"/>
      <c r="N122" s="1973"/>
      <c r="O122" s="1973"/>
      <c r="P122" s="1973"/>
      <c r="Q122" s="1973"/>
      <c r="R122" s="1973"/>
      <c r="S122" s="1973"/>
      <c r="T122" s="1973"/>
      <c r="U122" s="1973"/>
      <c r="V122" s="1973"/>
      <c r="W122" s="1974"/>
    </row>
    <row r="123" spans="1:23" s="210" customFormat="1" ht="30" customHeight="1">
      <c r="A123" s="1972" t="str">
        <f>A29</f>
        <v>อำเภอกุฉินารายณ์     จังหวัดกาฬสินธุ์</v>
      </c>
      <c r="B123" s="1973"/>
      <c r="C123" s="1973"/>
      <c r="D123" s="1973"/>
      <c r="E123" s="1973"/>
      <c r="F123" s="1973"/>
      <c r="G123" s="1973"/>
      <c r="H123" s="1973"/>
      <c r="I123" s="1973"/>
      <c r="J123" s="1973"/>
      <c r="K123" s="1973"/>
      <c r="L123" s="1973"/>
      <c r="M123" s="1973"/>
      <c r="N123" s="1973"/>
      <c r="O123" s="1973"/>
      <c r="P123" s="1973"/>
      <c r="Q123" s="1973"/>
      <c r="R123" s="1973"/>
      <c r="S123" s="1973"/>
      <c r="T123" s="1973"/>
      <c r="U123" s="1973"/>
      <c r="V123" s="1973"/>
      <c r="W123" s="1974"/>
    </row>
    <row r="124" spans="1:23" ht="30" customHeight="1">
      <c r="A124" s="235"/>
      <c r="B124" s="215"/>
      <c r="C124" s="215"/>
      <c r="D124" s="215"/>
      <c r="E124" s="215"/>
      <c r="F124" s="252"/>
      <c r="G124" s="252"/>
      <c r="H124" s="252"/>
      <c r="K124" s="642" t="s">
        <v>324</v>
      </c>
      <c r="L124" s="641" t="e">
        <f>$F$51</f>
        <v>#REF!</v>
      </c>
      <c r="M124" s="213" t="s">
        <v>302</v>
      </c>
      <c r="O124" s="252"/>
      <c r="P124" s="252"/>
      <c r="Q124" s="252"/>
      <c r="R124" s="215"/>
      <c r="S124" s="215"/>
      <c r="T124" s="215"/>
      <c r="U124" s="215"/>
      <c r="V124" s="215"/>
      <c r="W124" s="253"/>
    </row>
    <row r="125" spans="1:23" ht="15" customHeight="1">
      <c r="A125" s="235"/>
      <c r="B125" s="215"/>
      <c r="C125" s="215"/>
      <c r="D125" s="215"/>
      <c r="E125" s="215"/>
      <c r="F125" s="252"/>
      <c r="G125" s="252"/>
      <c r="H125" s="252"/>
      <c r="I125" s="213"/>
      <c r="J125" s="185"/>
      <c r="K125" s="214"/>
      <c r="L125" s="213"/>
      <c r="M125" s="252"/>
      <c r="N125" s="252"/>
      <c r="O125" s="252"/>
      <c r="P125" s="252"/>
      <c r="Q125" s="252"/>
      <c r="R125" s="215"/>
      <c r="S125" s="215"/>
      <c r="T125" s="215"/>
      <c r="U125" s="215"/>
      <c r="V125" s="215"/>
      <c r="W125" s="253"/>
    </row>
    <row r="126" spans="1:23" ht="24.95" customHeight="1">
      <c r="A126" s="1989" t="s">
        <v>352</v>
      </c>
      <c r="B126" s="1990"/>
      <c r="C126" s="1990"/>
      <c r="D126" s="1990"/>
      <c r="E126" s="1990"/>
      <c r="F126" s="1990"/>
      <c r="G126" s="1990"/>
      <c r="H126" s="1990"/>
      <c r="I126" s="1990"/>
      <c r="J126" s="1990"/>
      <c r="K126" s="1990"/>
      <c r="L126" s="1990"/>
      <c r="M126" s="1990"/>
      <c r="N126" s="1990"/>
      <c r="O126" s="1990"/>
      <c r="P126" s="1990"/>
      <c r="Q126" s="1990"/>
      <c r="R126" s="1990"/>
      <c r="S126" s="1990"/>
      <c r="T126" s="1990"/>
      <c r="U126" s="1990"/>
      <c r="V126" s="1991"/>
      <c r="W126" s="179"/>
    </row>
    <row r="127" spans="1:23" ht="24.95" customHeight="1">
      <c r="A127" s="319" t="s">
        <v>0</v>
      </c>
      <c r="B127" s="320" t="s">
        <v>1</v>
      </c>
      <c r="C127" s="321"/>
      <c r="D127" s="321"/>
      <c r="E127" s="322" t="s">
        <v>18</v>
      </c>
      <c r="F127" s="323" t="s">
        <v>353</v>
      </c>
      <c r="G127" s="323" t="s">
        <v>15</v>
      </c>
      <c r="H127" s="322" t="s">
        <v>0</v>
      </c>
      <c r="I127" s="320" t="s">
        <v>1</v>
      </c>
      <c r="J127" s="321"/>
      <c r="K127" s="321"/>
      <c r="L127" s="322" t="s">
        <v>18</v>
      </c>
      <c r="M127" s="323" t="s">
        <v>353</v>
      </c>
      <c r="N127" s="323" t="s">
        <v>15</v>
      </c>
      <c r="O127" s="322" t="s">
        <v>0</v>
      </c>
      <c r="P127" s="320" t="s">
        <v>1</v>
      </c>
      <c r="Q127" s="321"/>
      <c r="R127" s="321"/>
      <c r="S127" s="321"/>
      <c r="T127" s="322" t="s">
        <v>18</v>
      </c>
      <c r="U127" s="323" t="s">
        <v>353</v>
      </c>
      <c r="V127" s="323" t="s">
        <v>15</v>
      </c>
      <c r="W127" s="179"/>
    </row>
    <row r="128" spans="1:23" ht="24.95" customHeight="1">
      <c r="A128" s="324"/>
      <c r="B128" s="1992" t="s">
        <v>304</v>
      </c>
      <c r="C128" s="1993"/>
      <c r="D128" s="1994"/>
      <c r="E128" s="325"/>
      <c r="F128" s="326"/>
      <c r="G128" s="326"/>
      <c r="H128" s="325"/>
      <c r="I128" s="327" t="s">
        <v>354</v>
      </c>
      <c r="J128" s="328"/>
      <c r="K128" s="328"/>
      <c r="L128" s="325"/>
      <c r="M128" s="326"/>
      <c r="N128" s="326"/>
      <c r="O128" s="329"/>
      <c r="P128" s="1956" t="s">
        <v>355</v>
      </c>
      <c r="Q128" s="1957"/>
      <c r="R128" s="1957"/>
      <c r="S128" s="1958"/>
      <c r="T128" s="330" t="s">
        <v>35</v>
      </c>
      <c r="U128" s="331"/>
      <c r="V128" s="331"/>
      <c r="W128" s="179"/>
    </row>
    <row r="129" spans="1:23" ht="24.95" customHeight="1">
      <c r="A129" s="332">
        <v>1</v>
      </c>
      <c r="B129" s="1967" t="s">
        <v>25</v>
      </c>
      <c r="C129" s="1968"/>
      <c r="D129" s="1969"/>
      <c r="E129" s="333"/>
      <c r="F129" s="610"/>
      <c r="G129" s="333"/>
      <c r="H129" s="334"/>
      <c r="I129" s="335" t="s">
        <v>356</v>
      </c>
      <c r="J129" s="336"/>
      <c r="K129" s="337"/>
      <c r="L129" s="338" t="s">
        <v>35</v>
      </c>
      <c r="M129" s="626"/>
      <c r="N129" s="340"/>
      <c r="O129" s="341"/>
      <c r="P129" s="335" t="s">
        <v>357</v>
      </c>
      <c r="Q129" s="342"/>
      <c r="R129" s="342"/>
      <c r="S129" s="343"/>
      <c r="T129" s="344" t="s">
        <v>35</v>
      </c>
      <c r="U129" s="345"/>
      <c r="V129" s="346"/>
      <c r="W129" s="347"/>
    </row>
    <row r="130" spans="1:23" ht="24.95" customHeight="1">
      <c r="A130" s="348"/>
      <c r="B130" s="349" t="s">
        <v>179</v>
      </c>
      <c r="C130" s="350"/>
      <c r="D130" s="351"/>
      <c r="E130" s="352" t="s">
        <v>26</v>
      </c>
      <c r="F130" s="611"/>
      <c r="G130" s="353"/>
      <c r="H130" s="341"/>
      <c r="I130" s="354" t="s">
        <v>358</v>
      </c>
      <c r="J130" s="342"/>
      <c r="K130" s="342"/>
      <c r="L130" s="338" t="s">
        <v>35</v>
      </c>
      <c r="M130" s="626"/>
      <c r="N130" s="346"/>
      <c r="O130" s="341"/>
      <c r="P130" s="354" t="s">
        <v>359</v>
      </c>
      <c r="Q130" s="355"/>
      <c r="R130" s="342"/>
      <c r="S130" s="342"/>
      <c r="T130" s="344" t="s">
        <v>35</v>
      </c>
      <c r="U130" s="345"/>
      <c r="V130" s="346"/>
      <c r="W130" s="347"/>
    </row>
    <row r="131" spans="1:23" ht="24.95" customHeight="1">
      <c r="A131" s="348"/>
      <c r="B131" s="349" t="s">
        <v>228</v>
      </c>
      <c r="C131" s="350"/>
      <c r="D131" s="351"/>
      <c r="E131" s="352" t="s">
        <v>26</v>
      </c>
      <c r="F131" s="611"/>
      <c r="G131" s="353"/>
      <c r="H131" s="341"/>
      <c r="I131" s="354" t="s">
        <v>360</v>
      </c>
      <c r="J131" s="355"/>
      <c r="K131" s="342"/>
      <c r="L131" s="338" t="s">
        <v>35</v>
      </c>
      <c r="M131" s="339"/>
      <c r="N131" s="346"/>
      <c r="O131" s="341"/>
      <c r="P131" s="354" t="s">
        <v>361</v>
      </c>
      <c r="Q131" s="355"/>
      <c r="R131" s="342"/>
      <c r="S131" s="342"/>
      <c r="T131" s="352" t="s">
        <v>36</v>
      </c>
      <c r="U131" s="345"/>
      <c r="V131" s="346"/>
      <c r="W131" s="347"/>
    </row>
    <row r="132" spans="1:23" ht="24.95" customHeight="1">
      <c r="A132" s="356"/>
      <c r="B132" s="349" t="s">
        <v>229</v>
      </c>
      <c r="C132" s="350"/>
      <c r="D132" s="178"/>
      <c r="E132" s="352" t="s">
        <v>26</v>
      </c>
      <c r="F132" s="611"/>
      <c r="G132" s="357"/>
      <c r="H132" s="358"/>
      <c r="I132" s="354" t="s">
        <v>362</v>
      </c>
      <c r="J132" s="359"/>
      <c r="K132" s="359"/>
      <c r="L132" s="338" t="s">
        <v>35</v>
      </c>
      <c r="M132" s="339"/>
      <c r="N132" s="360"/>
      <c r="O132" s="341"/>
      <c r="P132" s="354" t="s">
        <v>363</v>
      </c>
      <c r="Q132" s="355"/>
      <c r="R132" s="342"/>
      <c r="S132" s="342"/>
      <c r="T132" s="352" t="s">
        <v>36</v>
      </c>
      <c r="U132" s="345"/>
      <c r="V132" s="346"/>
      <c r="W132" s="347"/>
    </row>
    <row r="133" spans="1:23" ht="24.95" customHeight="1">
      <c r="A133" s="356"/>
      <c r="B133" s="349" t="s">
        <v>230</v>
      </c>
      <c r="C133" s="350"/>
      <c r="D133" s="351"/>
      <c r="E133" s="352" t="s">
        <v>26</v>
      </c>
      <c r="F133" s="611"/>
      <c r="G133" s="361"/>
      <c r="H133" s="362"/>
      <c r="I133" s="354" t="s">
        <v>364</v>
      </c>
      <c r="J133" s="363"/>
      <c r="K133" s="363"/>
      <c r="L133" s="338" t="s">
        <v>35</v>
      </c>
      <c r="M133" s="626"/>
      <c r="N133" s="364"/>
      <c r="O133" s="341"/>
      <c r="P133" s="354" t="s">
        <v>365</v>
      </c>
      <c r="Q133" s="355"/>
      <c r="R133" s="342"/>
      <c r="S133" s="342"/>
      <c r="T133" s="352" t="s">
        <v>36</v>
      </c>
      <c r="U133" s="345"/>
      <c r="V133" s="364"/>
      <c r="W133" s="347"/>
    </row>
    <row r="134" spans="1:23" ht="24.95" customHeight="1">
      <c r="A134" s="356"/>
      <c r="B134" s="1981" t="s">
        <v>283</v>
      </c>
      <c r="C134" s="1982"/>
      <c r="D134" s="351"/>
      <c r="E134" s="352" t="s">
        <v>26</v>
      </c>
      <c r="F134" s="611"/>
      <c r="G134" s="352"/>
      <c r="H134" s="341"/>
      <c r="I134" s="354" t="s">
        <v>366</v>
      </c>
      <c r="J134" s="342"/>
      <c r="K134" s="342"/>
      <c r="L134" s="352" t="s">
        <v>35</v>
      </c>
      <c r="M134" s="612"/>
      <c r="N134" s="364"/>
      <c r="O134" s="341"/>
      <c r="P134" s="365" t="s">
        <v>367</v>
      </c>
      <c r="Q134" s="355"/>
      <c r="R134" s="342"/>
      <c r="S134" s="342"/>
      <c r="T134" s="352" t="s">
        <v>45</v>
      </c>
      <c r="U134" s="345"/>
      <c r="V134" s="364"/>
      <c r="W134" s="347"/>
    </row>
    <row r="135" spans="1:23" ht="24.95" customHeight="1">
      <c r="A135" s="366"/>
      <c r="B135" s="349" t="s">
        <v>231</v>
      </c>
      <c r="C135" s="367"/>
      <c r="D135" s="351"/>
      <c r="E135" s="352" t="s">
        <v>27</v>
      </c>
      <c r="F135" s="611"/>
      <c r="G135" s="352"/>
      <c r="H135" s="341"/>
      <c r="I135" s="354" t="s">
        <v>368</v>
      </c>
      <c r="J135" s="342"/>
      <c r="K135" s="342"/>
      <c r="L135" s="352" t="s">
        <v>35</v>
      </c>
      <c r="M135" s="612"/>
      <c r="N135" s="364"/>
      <c r="O135" s="341"/>
      <c r="P135" s="354" t="s">
        <v>369</v>
      </c>
      <c r="Q135" s="368"/>
      <c r="R135" s="342"/>
      <c r="S135" s="342"/>
      <c r="T135" s="352" t="s">
        <v>45</v>
      </c>
      <c r="U135" s="369"/>
      <c r="V135" s="364"/>
      <c r="W135" s="347"/>
    </row>
    <row r="136" spans="1:23" ht="24.95" customHeight="1">
      <c r="A136" s="356"/>
      <c r="B136" s="349" t="s">
        <v>232</v>
      </c>
      <c r="C136" s="367"/>
      <c r="D136" s="351"/>
      <c r="E136" s="352" t="s">
        <v>27</v>
      </c>
      <c r="F136" s="611"/>
      <c r="G136" s="352"/>
      <c r="H136" s="341"/>
      <c r="I136" s="354" t="s">
        <v>370</v>
      </c>
      <c r="J136" s="342"/>
      <c r="K136" s="342"/>
      <c r="L136" s="352" t="s">
        <v>35</v>
      </c>
      <c r="M136" s="612"/>
      <c r="N136" s="370"/>
      <c r="O136" s="341"/>
      <c r="P136" s="354" t="s">
        <v>371</v>
      </c>
      <c r="Q136" s="368"/>
      <c r="R136" s="342"/>
      <c r="S136" s="342"/>
      <c r="T136" s="352" t="s">
        <v>45</v>
      </c>
      <c r="U136" s="369"/>
      <c r="V136" s="370"/>
      <c r="W136" s="347"/>
    </row>
    <row r="137" spans="1:23" ht="24.95" customHeight="1">
      <c r="A137" s="356"/>
      <c r="B137" s="349" t="s">
        <v>233</v>
      </c>
      <c r="C137" s="350"/>
      <c r="D137" s="351"/>
      <c r="E137" s="352" t="s">
        <v>27</v>
      </c>
      <c r="F137" s="611"/>
      <c r="G137" s="352"/>
      <c r="H137" s="341"/>
      <c r="I137" s="354" t="s">
        <v>372</v>
      </c>
      <c r="J137" s="342"/>
      <c r="K137" s="342"/>
      <c r="L137" s="352" t="s">
        <v>35</v>
      </c>
      <c r="M137" s="339"/>
      <c r="N137" s="371"/>
      <c r="O137" s="341"/>
      <c r="P137" s="354" t="s">
        <v>373</v>
      </c>
      <c r="Q137" s="368"/>
      <c r="R137" s="342"/>
      <c r="S137" s="342"/>
      <c r="T137" s="352" t="s">
        <v>128</v>
      </c>
      <c r="U137" s="345"/>
      <c r="V137" s="371"/>
      <c r="W137" s="347"/>
    </row>
    <row r="138" spans="1:23" ht="24.95" customHeight="1">
      <c r="A138" s="356"/>
      <c r="B138" s="349" t="s">
        <v>234</v>
      </c>
      <c r="C138" s="350"/>
      <c r="D138" s="351"/>
      <c r="E138" s="352" t="s">
        <v>27</v>
      </c>
      <c r="F138" s="611"/>
      <c r="G138" s="352"/>
      <c r="H138" s="341"/>
      <c r="I138" s="354" t="s">
        <v>374</v>
      </c>
      <c r="J138" s="342"/>
      <c r="K138" s="342"/>
      <c r="L138" s="352" t="s">
        <v>35</v>
      </c>
      <c r="M138" s="339"/>
      <c r="N138" s="371"/>
      <c r="O138" s="341"/>
      <c r="P138" s="354" t="s">
        <v>375</v>
      </c>
      <c r="Q138" s="368"/>
      <c r="R138" s="342"/>
      <c r="S138" s="342"/>
      <c r="T138" s="352" t="s">
        <v>120</v>
      </c>
      <c r="U138" s="625"/>
      <c r="V138" s="371"/>
      <c r="W138" s="347"/>
    </row>
    <row r="139" spans="1:23" ht="24.95" customHeight="1">
      <c r="A139" s="356"/>
      <c r="B139" s="349" t="s">
        <v>251</v>
      </c>
      <c r="C139" s="350"/>
      <c r="D139" s="351"/>
      <c r="E139" s="352" t="s">
        <v>27</v>
      </c>
      <c r="F139" s="664" t="e">
        <f>#REF!</f>
        <v>#REF!</v>
      </c>
      <c r="G139" s="352"/>
      <c r="H139" s="341"/>
      <c r="I139" s="354" t="s">
        <v>376</v>
      </c>
      <c r="J139" s="342"/>
      <c r="K139" s="342"/>
      <c r="L139" s="352" t="s">
        <v>35</v>
      </c>
      <c r="M139" s="339"/>
      <c r="N139" s="371"/>
      <c r="O139" s="341"/>
      <c r="P139" s="354" t="s">
        <v>377</v>
      </c>
      <c r="Q139" s="368"/>
      <c r="R139" s="342"/>
      <c r="S139" s="342"/>
      <c r="T139" s="352" t="s">
        <v>120</v>
      </c>
      <c r="U139" s="345"/>
      <c r="V139" s="371"/>
      <c r="W139" s="347"/>
    </row>
    <row r="140" spans="1:23" ht="24.95" customHeight="1">
      <c r="A140" s="356"/>
      <c r="B140" s="349" t="s">
        <v>319</v>
      </c>
      <c r="C140" s="350"/>
      <c r="D140" s="351"/>
      <c r="E140" s="352" t="s">
        <v>27</v>
      </c>
      <c r="F140" s="664"/>
      <c r="G140" s="352"/>
      <c r="H140" s="341"/>
      <c r="I140" s="354" t="s">
        <v>378</v>
      </c>
      <c r="J140" s="342"/>
      <c r="K140" s="342"/>
      <c r="L140" s="352" t="s">
        <v>35</v>
      </c>
      <c r="M140" s="339"/>
      <c r="N140" s="371"/>
      <c r="O140" s="341"/>
      <c r="P140" s="372" t="s">
        <v>379</v>
      </c>
      <c r="Q140" s="368"/>
      <c r="R140" s="373"/>
      <c r="S140" s="373"/>
      <c r="T140" s="352" t="s">
        <v>45</v>
      </c>
      <c r="U140" s="625"/>
      <c r="V140" s="371"/>
      <c r="W140" s="347"/>
    </row>
    <row r="141" spans="1:23" ht="24.95" customHeight="1">
      <c r="A141" s="356"/>
      <c r="B141" s="349" t="s">
        <v>235</v>
      </c>
      <c r="C141" s="350"/>
      <c r="D141" s="351"/>
      <c r="E141" s="352" t="s">
        <v>26</v>
      </c>
      <c r="F141" s="664" t="e">
        <f>#REF!</f>
        <v>#REF!</v>
      </c>
      <c r="G141" s="351"/>
      <c r="H141" s="341"/>
      <c r="I141" s="354" t="s">
        <v>380</v>
      </c>
      <c r="J141" s="342"/>
      <c r="K141" s="342"/>
      <c r="L141" s="352" t="s">
        <v>35</v>
      </c>
      <c r="M141" s="339"/>
      <c r="N141" s="371"/>
      <c r="O141" s="341"/>
      <c r="P141" s="374" t="s">
        <v>307</v>
      </c>
      <c r="Q141" s="375"/>
      <c r="R141" s="342"/>
      <c r="S141" s="371"/>
      <c r="T141" s="344"/>
      <c r="U141" s="376"/>
      <c r="V141" s="371"/>
      <c r="W141" s="179"/>
    </row>
    <row r="142" spans="1:23" ht="24.95" customHeight="1">
      <c r="A142" s="377"/>
      <c r="B142" s="349" t="s">
        <v>236</v>
      </c>
      <c r="C142" s="350"/>
      <c r="D142" s="351"/>
      <c r="E142" s="352" t="s">
        <v>26</v>
      </c>
      <c r="F142" s="664" t="e">
        <f>#REF!</f>
        <v>#REF!</v>
      </c>
      <c r="G142" s="357"/>
      <c r="H142" s="341"/>
      <c r="I142" s="335" t="s">
        <v>381</v>
      </c>
      <c r="J142" s="342"/>
      <c r="K142" s="342"/>
      <c r="L142" s="352" t="s">
        <v>35</v>
      </c>
      <c r="M142" s="339"/>
      <c r="N142" s="371"/>
      <c r="O142" s="378" t="s">
        <v>382</v>
      </c>
      <c r="P142" s="335" t="s">
        <v>308</v>
      </c>
      <c r="Q142" s="379"/>
      <c r="R142" s="342"/>
      <c r="S142" s="371"/>
      <c r="T142" s="344" t="s">
        <v>109</v>
      </c>
      <c r="U142" s="339"/>
      <c r="V142" s="371"/>
      <c r="W142" s="179"/>
    </row>
    <row r="143" spans="1:23" ht="24.95" customHeight="1">
      <c r="A143" s="377"/>
      <c r="B143" s="380"/>
      <c r="C143" s="363"/>
      <c r="D143" s="381"/>
      <c r="E143" s="352"/>
      <c r="F143" s="665"/>
      <c r="G143" s="357"/>
      <c r="H143" s="341"/>
      <c r="I143" s="335" t="s">
        <v>383</v>
      </c>
      <c r="J143" s="355"/>
      <c r="K143" s="342"/>
      <c r="L143" s="352" t="s">
        <v>35</v>
      </c>
      <c r="M143" s="339"/>
      <c r="N143" s="371"/>
      <c r="O143" s="341"/>
      <c r="P143" s="335" t="s">
        <v>501</v>
      </c>
      <c r="Q143" s="379"/>
      <c r="R143" s="382"/>
      <c r="S143" s="364"/>
      <c r="T143" s="344"/>
      <c r="U143" s="339"/>
      <c r="V143" s="371"/>
      <c r="W143" s="179"/>
    </row>
    <row r="144" spans="1:23" ht="24.95" customHeight="1">
      <c r="A144" s="383" t="s">
        <v>384</v>
      </c>
      <c r="B144" s="1975" t="s">
        <v>385</v>
      </c>
      <c r="C144" s="1976"/>
      <c r="D144" s="1977"/>
      <c r="E144" s="352"/>
      <c r="F144" s="665"/>
      <c r="G144" s="385"/>
      <c r="H144" s="341"/>
      <c r="I144" s="335" t="s">
        <v>386</v>
      </c>
      <c r="J144" s="355"/>
      <c r="K144" s="342"/>
      <c r="L144" s="344" t="s">
        <v>35</v>
      </c>
      <c r="M144" s="339"/>
      <c r="N144" s="371"/>
      <c r="O144" s="341"/>
      <c r="P144" s="335" t="s">
        <v>309</v>
      </c>
      <c r="Q144" s="379"/>
      <c r="R144" s="342"/>
      <c r="S144" s="371"/>
      <c r="T144" s="344" t="s">
        <v>109</v>
      </c>
      <c r="U144" s="612" t="e">
        <f>#REF!</f>
        <v>#REF!</v>
      </c>
      <c r="V144" s="371"/>
      <c r="W144" s="179"/>
    </row>
    <row r="145" spans="1:23" ht="24.95" customHeight="1">
      <c r="A145" s="383"/>
      <c r="B145" s="386" t="s">
        <v>29</v>
      </c>
      <c r="C145" s="387"/>
      <c r="D145" s="388"/>
      <c r="E145" s="352" t="s">
        <v>26</v>
      </c>
      <c r="F145" s="665" t="e">
        <f>#REF!+#REF!</f>
        <v>#REF!</v>
      </c>
      <c r="G145" s="385"/>
      <c r="H145" s="341"/>
      <c r="I145" s="335" t="s">
        <v>387</v>
      </c>
      <c r="J145" s="355"/>
      <c r="K145" s="342"/>
      <c r="L145" s="344" t="s">
        <v>35</v>
      </c>
      <c r="M145" s="339"/>
      <c r="N145" s="364"/>
      <c r="O145" s="341"/>
      <c r="P145" s="335" t="s">
        <v>310</v>
      </c>
      <c r="Q145" s="379"/>
      <c r="R145" s="359"/>
      <c r="S145" s="346"/>
      <c r="T145" s="344" t="s">
        <v>109</v>
      </c>
      <c r="U145" s="339"/>
      <c r="V145" s="364"/>
      <c r="W145" s="179"/>
    </row>
    <row r="146" spans="1:23" ht="24.95" customHeight="1">
      <c r="A146" s="356"/>
      <c r="B146" s="380" t="s">
        <v>30</v>
      </c>
      <c r="C146" s="389"/>
      <c r="D146" s="357"/>
      <c r="E146" s="352" t="s">
        <v>26</v>
      </c>
      <c r="F146" s="665" t="e">
        <f>#REF!+#REF!</f>
        <v>#REF!</v>
      </c>
      <c r="G146" s="385"/>
      <c r="H146" s="341"/>
      <c r="I146" s="335" t="s">
        <v>388</v>
      </c>
      <c r="J146" s="382"/>
      <c r="K146" s="382"/>
      <c r="L146" s="344" t="s">
        <v>35</v>
      </c>
      <c r="M146" s="339"/>
      <c r="N146" s="364"/>
      <c r="O146" s="341"/>
      <c r="P146" s="335" t="s">
        <v>311</v>
      </c>
      <c r="Q146" s="379"/>
      <c r="R146" s="359"/>
      <c r="S146" s="346"/>
      <c r="T146" s="344" t="s">
        <v>109</v>
      </c>
      <c r="U146" s="339"/>
      <c r="V146" s="364"/>
      <c r="W146" s="179"/>
    </row>
    <row r="147" spans="1:23" ht="24.95" customHeight="1">
      <c r="A147" s="356"/>
      <c r="B147" s="386" t="s">
        <v>180</v>
      </c>
      <c r="C147" s="390"/>
      <c r="D147" s="351"/>
      <c r="E147" s="352"/>
      <c r="F147" s="665"/>
      <c r="G147" s="385"/>
      <c r="H147" s="391"/>
      <c r="I147" s="335" t="s">
        <v>389</v>
      </c>
      <c r="J147" s="392"/>
      <c r="K147" s="373"/>
      <c r="L147" s="393" t="s">
        <v>35</v>
      </c>
      <c r="M147" s="612"/>
      <c r="N147" s="394"/>
      <c r="O147" s="395"/>
      <c r="P147" s="335" t="s">
        <v>312</v>
      </c>
      <c r="Q147" s="379"/>
      <c r="R147" s="359"/>
      <c r="S147" s="346"/>
      <c r="T147" s="344" t="s">
        <v>109</v>
      </c>
      <c r="U147" s="339"/>
      <c r="V147" s="346"/>
      <c r="W147" s="253"/>
    </row>
    <row r="148" spans="1:23" ht="24.95" customHeight="1">
      <c r="A148" s="356"/>
      <c r="B148" s="386" t="s">
        <v>31</v>
      </c>
      <c r="C148" s="390"/>
      <c r="D148" s="351"/>
      <c r="E148" s="352" t="s">
        <v>26</v>
      </c>
      <c r="F148" s="665" t="e">
        <f>#REF!+#REF!</f>
        <v>#REF!</v>
      </c>
      <c r="G148" s="385"/>
      <c r="H148" s="341"/>
      <c r="I148" s="396" t="s">
        <v>390</v>
      </c>
      <c r="J148" s="397"/>
      <c r="K148" s="398"/>
      <c r="L148" s="338" t="s">
        <v>35</v>
      </c>
      <c r="M148" s="626"/>
      <c r="N148" s="399"/>
      <c r="O148" s="395"/>
      <c r="P148" s="400" t="s">
        <v>391</v>
      </c>
      <c r="Q148" s="401"/>
      <c r="R148" s="359"/>
      <c r="S148" s="346"/>
      <c r="T148" s="344" t="s">
        <v>109</v>
      </c>
      <c r="U148" s="339"/>
      <c r="V148" s="399"/>
      <c r="W148" s="402"/>
    </row>
    <row r="149" spans="1:23" ht="24.95" customHeight="1">
      <c r="A149" s="356"/>
      <c r="B149" s="380" t="s">
        <v>32</v>
      </c>
      <c r="C149" s="390"/>
      <c r="D149" s="351"/>
      <c r="E149" s="352" t="s">
        <v>26</v>
      </c>
      <c r="F149" s="665" t="e">
        <f>F146</f>
        <v>#REF!</v>
      </c>
      <c r="G149" s="385"/>
      <c r="H149" s="341"/>
      <c r="I149" s="396" t="s">
        <v>221</v>
      </c>
      <c r="J149" s="397"/>
      <c r="K149" s="398"/>
      <c r="L149" s="338" t="s">
        <v>35</v>
      </c>
      <c r="M149" s="612"/>
      <c r="N149" s="399"/>
      <c r="O149" s="395"/>
      <c r="P149" s="1978" t="s">
        <v>392</v>
      </c>
      <c r="Q149" s="1979"/>
      <c r="R149" s="1979"/>
      <c r="S149" s="403"/>
      <c r="T149" s="344" t="s">
        <v>109</v>
      </c>
      <c r="U149" s="339"/>
      <c r="V149" s="399"/>
      <c r="W149" s="402"/>
    </row>
    <row r="150" spans="1:23" ht="24.95" customHeight="1">
      <c r="A150" s="356"/>
      <c r="B150" s="380"/>
      <c r="C150" s="390"/>
      <c r="D150" s="351"/>
      <c r="E150" s="352"/>
      <c r="F150" s="665"/>
      <c r="G150" s="385"/>
      <c r="H150" s="341"/>
      <c r="I150" s="396" t="s">
        <v>393</v>
      </c>
      <c r="J150" s="397"/>
      <c r="K150" s="398"/>
      <c r="L150" s="338" t="s">
        <v>35</v>
      </c>
      <c r="M150" s="339"/>
      <c r="N150" s="399"/>
      <c r="O150" s="395"/>
      <c r="P150" s="400" t="s">
        <v>394</v>
      </c>
      <c r="Q150" s="401"/>
      <c r="R150" s="359"/>
      <c r="S150" s="346"/>
      <c r="T150" s="344" t="s">
        <v>109</v>
      </c>
      <c r="U150" s="339"/>
      <c r="V150" s="399"/>
      <c r="W150" s="402"/>
    </row>
    <row r="151" spans="1:23" ht="24.95" customHeight="1">
      <c r="A151" s="404" t="s">
        <v>395</v>
      </c>
      <c r="B151" s="405" t="s">
        <v>33</v>
      </c>
      <c r="C151" s="390"/>
      <c r="D151" s="351"/>
      <c r="E151" s="344"/>
      <c r="F151" s="665"/>
      <c r="G151" s="385"/>
      <c r="H151" s="341"/>
      <c r="I151" s="396" t="s">
        <v>396</v>
      </c>
      <c r="J151" s="397"/>
      <c r="K151" s="398"/>
      <c r="L151" s="338" t="s">
        <v>35</v>
      </c>
      <c r="M151" s="626"/>
      <c r="N151" s="399"/>
      <c r="O151" s="395"/>
      <c r="P151" s="396" t="s">
        <v>316</v>
      </c>
      <c r="Q151" s="401"/>
      <c r="R151" s="359"/>
      <c r="S151" s="346"/>
      <c r="T151" s="344"/>
      <c r="U151" s="339"/>
      <c r="V151" s="399"/>
      <c r="W151" s="402"/>
    </row>
    <row r="152" spans="1:23" ht="24.95" customHeight="1">
      <c r="A152" s="356"/>
      <c r="B152" s="380" t="s">
        <v>44</v>
      </c>
      <c r="C152" s="390"/>
      <c r="D152" s="351"/>
      <c r="E152" s="352" t="s">
        <v>26</v>
      </c>
      <c r="F152" s="665" t="e">
        <f>#REF!</f>
        <v>#REF!</v>
      </c>
      <c r="G152" s="616" t="s">
        <v>530</v>
      </c>
      <c r="H152" s="341"/>
      <c r="I152" s="396" t="s">
        <v>397</v>
      </c>
      <c r="J152" s="406"/>
      <c r="K152" s="398"/>
      <c r="L152" s="338" t="s">
        <v>35</v>
      </c>
      <c r="M152" s="339"/>
      <c r="N152" s="399"/>
      <c r="O152" s="395"/>
      <c r="P152" s="400" t="s">
        <v>398</v>
      </c>
      <c r="Q152" s="407"/>
      <c r="R152" s="359"/>
      <c r="S152" s="346"/>
      <c r="T152" s="344" t="s">
        <v>109</v>
      </c>
      <c r="U152" s="339"/>
      <c r="V152" s="399"/>
      <c r="W152" s="402"/>
    </row>
    <row r="153" spans="1:23" ht="24.95" customHeight="1">
      <c r="A153" s="356"/>
      <c r="B153" s="380" t="s">
        <v>399</v>
      </c>
      <c r="C153" s="390"/>
      <c r="D153" s="351"/>
      <c r="E153" s="352" t="s">
        <v>26</v>
      </c>
      <c r="F153" s="665"/>
      <c r="G153" s="385"/>
      <c r="H153" s="391"/>
      <c r="I153" s="408" t="s">
        <v>400</v>
      </c>
      <c r="J153" s="409"/>
      <c r="K153" s="410"/>
      <c r="L153" s="338" t="s">
        <v>35</v>
      </c>
      <c r="M153" s="339"/>
      <c r="N153" s="411"/>
      <c r="O153" s="412"/>
      <c r="P153" s="413" t="s">
        <v>401</v>
      </c>
      <c r="Q153" s="414"/>
      <c r="R153" s="415"/>
      <c r="S153" s="394"/>
      <c r="T153" s="393"/>
      <c r="U153" s="384"/>
      <c r="V153" s="411"/>
      <c r="W153" s="402"/>
    </row>
    <row r="154" spans="1:23" ht="24.95" customHeight="1">
      <c r="A154" s="356"/>
      <c r="B154" s="335" t="s">
        <v>402</v>
      </c>
      <c r="C154" s="390"/>
      <c r="D154" s="351"/>
      <c r="E154" s="352" t="s">
        <v>26</v>
      </c>
      <c r="F154" s="665"/>
      <c r="G154" s="385"/>
      <c r="H154" s="416"/>
      <c r="I154" s="417" t="s">
        <v>403</v>
      </c>
      <c r="J154" s="418"/>
      <c r="K154" s="419"/>
      <c r="L154" s="420" t="s">
        <v>35</v>
      </c>
      <c r="M154" s="421"/>
      <c r="N154" s="422"/>
      <c r="O154" s="423"/>
      <c r="P154" s="417"/>
      <c r="Q154" s="424"/>
      <c r="R154" s="425"/>
      <c r="S154" s="426"/>
      <c r="T154" s="420"/>
      <c r="U154" s="427"/>
      <c r="V154" s="422"/>
      <c r="W154" s="402"/>
    </row>
    <row r="155" spans="1:23" ht="24.95" customHeight="1">
      <c r="A155" s="356"/>
      <c r="B155" s="335" t="s">
        <v>404</v>
      </c>
      <c r="C155" s="390"/>
      <c r="D155" s="351"/>
      <c r="E155" s="352" t="s">
        <v>120</v>
      </c>
      <c r="F155" s="665"/>
      <c r="G155" s="385"/>
      <c r="H155" s="297"/>
      <c r="I155" s="185"/>
      <c r="J155" s="185"/>
      <c r="K155" s="293"/>
      <c r="L155" s="428"/>
      <c r="M155" s="295"/>
      <c r="N155" s="294"/>
      <c r="O155" s="300"/>
      <c r="P155" s="429"/>
      <c r="Q155" s="430"/>
      <c r="R155" s="294"/>
      <c r="S155" s="294"/>
      <c r="T155" s="428"/>
      <c r="U155" s="295"/>
      <c r="V155" s="294"/>
      <c r="W155" s="253"/>
    </row>
    <row r="156" spans="1:23" ht="24.95" customHeight="1" thickBot="1">
      <c r="A156" s="356"/>
      <c r="B156" s="335"/>
      <c r="C156" s="390"/>
      <c r="D156" s="351"/>
      <c r="E156" s="352"/>
      <c r="F156" s="608"/>
      <c r="G156" s="385"/>
      <c r="H156" s="297"/>
      <c r="I156" s="185"/>
      <c r="J156" s="185"/>
      <c r="K156" s="293"/>
      <c r="L156" s="428"/>
      <c r="M156" s="604"/>
      <c r="N156" s="604"/>
      <c r="O156" s="604"/>
      <c r="P156" s="604"/>
      <c r="Q156" s="604"/>
      <c r="R156" s="604"/>
      <c r="S156" s="604"/>
      <c r="T156" s="604"/>
      <c r="U156" s="604"/>
      <c r="V156" s="604"/>
      <c r="W156" s="605"/>
    </row>
    <row r="157" spans="1:23" ht="24.75" customHeight="1">
      <c r="A157" s="383" t="s">
        <v>405</v>
      </c>
      <c r="B157" s="431" t="s">
        <v>34</v>
      </c>
      <c r="C157" s="390"/>
      <c r="D157" s="351"/>
      <c r="E157" s="344"/>
      <c r="F157" s="608"/>
      <c r="G157" s="385"/>
      <c r="H157" s="297"/>
      <c r="I157" s="185"/>
      <c r="J157" s="298"/>
      <c r="K157" s="293"/>
      <c r="L157" s="428"/>
      <c r="M157" s="1983" t="s">
        <v>331</v>
      </c>
      <c r="N157" s="1984"/>
      <c r="O157" s="1984"/>
      <c r="P157" s="1984"/>
      <c r="Q157" s="1984"/>
      <c r="R157" s="1984"/>
      <c r="S157" s="1984"/>
      <c r="T157" s="1984"/>
      <c r="U157" s="1984"/>
      <c r="V157" s="1984"/>
      <c r="W157" s="1985"/>
    </row>
    <row r="158" spans="1:23" ht="24.95" customHeight="1" thickBot="1">
      <c r="A158" s="356"/>
      <c r="B158" s="380" t="s">
        <v>406</v>
      </c>
      <c r="C158" s="432"/>
      <c r="D158" s="385"/>
      <c r="E158" s="344"/>
      <c r="F158" s="608"/>
      <c r="G158" s="385"/>
      <c r="H158" s="297"/>
      <c r="I158" s="185"/>
      <c r="J158" s="298"/>
      <c r="K158" s="293"/>
      <c r="L158" s="428"/>
      <c r="M158" s="1986"/>
      <c r="N158" s="1987"/>
      <c r="O158" s="1987"/>
      <c r="P158" s="1987"/>
      <c r="Q158" s="1987"/>
      <c r="R158" s="1987"/>
      <c r="S158" s="1987"/>
      <c r="T158" s="1987"/>
      <c r="U158" s="1987"/>
      <c r="V158" s="1987"/>
      <c r="W158" s="1988"/>
    </row>
    <row r="159" spans="1:23" ht="24.75" customHeight="1">
      <c r="A159" s="356"/>
      <c r="B159" s="335" t="s">
        <v>407</v>
      </c>
      <c r="C159" s="432"/>
      <c r="D159" s="385"/>
      <c r="E159" s="344" t="s">
        <v>36</v>
      </c>
      <c r="F159" s="608"/>
      <c r="G159" s="385"/>
      <c r="H159" s="297"/>
      <c r="I159" s="185"/>
      <c r="J159" s="298"/>
      <c r="K159" s="293"/>
      <c r="L159" s="428"/>
      <c r="M159" s="1950" t="str">
        <f>M74</f>
        <v>รหัสสายทาง : กส. 2008</v>
      </c>
      <c r="N159" s="1951"/>
      <c r="O159" s="1951"/>
      <c r="P159" s="1951"/>
      <c r="Q159" s="1952"/>
      <c r="R159" s="2006" t="str">
        <f t="shared" ref="R159:R164" si="1">R74</f>
        <v>นายอภิชัย  ไพรินทร์</v>
      </c>
      <c r="S159" s="2007"/>
      <c r="T159" s="655"/>
      <c r="U159" s="651" t="s">
        <v>332</v>
      </c>
      <c r="V159" s="215" t="s">
        <v>289</v>
      </c>
      <c r="W159" s="253"/>
    </row>
    <row r="160" spans="1:23" ht="24.75" customHeight="1">
      <c r="A160" s="356"/>
      <c r="B160" s="335" t="s">
        <v>408</v>
      </c>
      <c r="C160" s="432"/>
      <c r="D160" s="385"/>
      <c r="E160" s="344" t="s">
        <v>36</v>
      </c>
      <c r="F160" s="608"/>
      <c r="G160" s="385"/>
      <c r="H160" s="178"/>
      <c r="I160" s="185"/>
      <c r="J160" s="178"/>
      <c r="K160" s="225"/>
      <c r="L160" s="225"/>
      <c r="M160" s="1950" t="str">
        <f>M75</f>
        <v>ชื่อสายทาง : แยกทางหลวงหมายเลข 12 - บ้านโพนนาดี</v>
      </c>
      <c r="N160" s="1951"/>
      <c r="O160" s="1951"/>
      <c r="P160" s="1951"/>
      <c r="Q160" s="1952"/>
      <c r="R160" s="2008" t="str">
        <f t="shared" si="1"/>
        <v>นางสาวอาติยา  เครือวรรณ</v>
      </c>
      <c r="S160" s="2009"/>
      <c r="T160" s="656"/>
      <c r="U160" s="651" t="s">
        <v>491</v>
      </c>
      <c r="V160" s="657"/>
      <c r="W160" s="658"/>
    </row>
    <row r="161" spans="1:23" ht="24.95" customHeight="1">
      <c r="A161" s="356"/>
      <c r="B161" s="335" t="s">
        <v>409</v>
      </c>
      <c r="C161" s="390"/>
      <c r="D161" s="351"/>
      <c r="E161" s="433" t="s">
        <v>35</v>
      </c>
      <c r="F161" s="608"/>
      <c r="G161" s="385"/>
      <c r="H161" s="178"/>
      <c r="I161" s="178"/>
      <c r="J161" s="178"/>
      <c r="K161" s="225"/>
      <c r="L161" s="225"/>
      <c r="M161" s="1995" t="str">
        <f>A29</f>
        <v>อำเภอกุฉินารายณ์     จังหวัดกาฬสินธุ์</v>
      </c>
      <c r="N161" s="1996"/>
      <c r="O161" s="1996"/>
      <c r="P161" s="1996"/>
      <c r="Q161" s="1955"/>
      <c r="R161" s="1948" t="str">
        <f t="shared" si="1"/>
        <v>นายปัญญา  ไพรินทร์</v>
      </c>
      <c r="S161" s="1949"/>
      <c r="T161" s="656"/>
      <c r="U161" s="651" t="s">
        <v>333</v>
      </c>
      <c r="V161" s="646"/>
      <c r="W161" s="652" t="s">
        <v>334</v>
      </c>
    </row>
    <row r="162" spans="1:23" ht="24.95" customHeight="1">
      <c r="A162" s="434"/>
      <c r="B162" s="335" t="s">
        <v>410</v>
      </c>
      <c r="C162" s="435"/>
      <c r="D162" s="436"/>
      <c r="E162" s="393" t="s">
        <v>195</v>
      </c>
      <c r="F162" s="608"/>
      <c r="G162" s="358"/>
      <c r="H162" s="178"/>
      <c r="I162" s="178"/>
      <c r="J162" s="178"/>
      <c r="K162" s="293"/>
      <c r="L162" s="309"/>
      <c r="M162" s="645" t="s">
        <v>335</v>
      </c>
      <c r="N162" s="657"/>
      <c r="O162" s="657"/>
      <c r="P162" s="657"/>
      <c r="Q162" s="657"/>
      <c r="R162" s="1954" t="str">
        <f t="shared" si="1"/>
        <v>นายบพิตร  จันทร์เพชร</v>
      </c>
      <c r="S162" s="1955"/>
      <c r="T162" s="659"/>
      <c r="U162" s="651" t="s">
        <v>492</v>
      </c>
      <c r="V162" s="654" t="s">
        <v>336</v>
      </c>
      <c r="W162" s="253"/>
    </row>
    <row r="163" spans="1:23" ht="24.95" customHeight="1">
      <c r="A163" s="434"/>
      <c r="B163" s="429"/>
      <c r="C163" s="435"/>
      <c r="D163" s="436"/>
      <c r="E163" s="393"/>
      <c r="F163" s="609"/>
      <c r="G163" s="437"/>
      <c r="H163" s="178"/>
      <c r="I163" s="178"/>
      <c r="J163" s="178"/>
      <c r="K163" s="293"/>
      <c r="L163" s="309"/>
      <c r="M163" s="1950" t="s">
        <v>352</v>
      </c>
      <c r="N163" s="1951"/>
      <c r="O163" s="1951"/>
      <c r="P163" s="1951"/>
      <c r="Q163" s="1952"/>
      <c r="R163" s="1954" t="str">
        <f t="shared" si="1"/>
        <v>นายสุรศักดิ์  ไกรพินิจ</v>
      </c>
      <c r="S163" s="1955"/>
      <c r="T163" s="660"/>
      <c r="U163" s="651" t="s">
        <v>337</v>
      </c>
      <c r="V163" s="661"/>
      <c r="W163" s="253"/>
    </row>
    <row r="164" spans="1:23" ht="24.95" customHeight="1" thickBot="1">
      <c r="A164" s="438"/>
      <c r="B164" s="439"/>
      <c r="C164" s="440"/>
      <c r="D164" s="441"/>
      <c r="E164" s="442"/>
      <c r="F164" s="443"/>
      <c r="G164" s="444"/>
      <c r="H164" s="190"/>
      <c r="I164" s="190"/>
      <c r="J164" s="190"/>
      <c r="K164" s="314"/>
      <c r="L164" s="313"/>
      <c r="M164" s="1962" t="str">
        <f>M79</f>
        <v>แบบเลขที่ สบณ. 57 - 09</v>
      </c>
      <c r="N164" s="1980"/>
      <c r="O164" s="1964" t="s">
        <v>957</v>
      </c>
      <c r="P164" s="1965"/>
      <c r="Q164" s="1966"/>
      <c r="R164" s="1964" t="str">
        <f t="shared" si="1"/>
        <v>จำนวน  4  แผ่น</v>
      </c>
      <c r="S164" s="1966"/>
      <c r="T164" s="1970">
        <f>T79</f>
        <v>41604</v>
      </c>
      <c r="U164" s="1971"/>
      <c r="V164" s="662"/>
      <c r="W164" s="653" t="s">
        <v>338</v>
      </c>
    </row>
    <row r="165" spans="1:23" ht="24.95" customHeight="1">
      <c r="A165" s="246"/>
      <c r="B165" s="174"/>
      <c r="C165" s="445"/>
      <c r="D165" s="446"/>
      <c r="E165" s="447"/>
      <c r="F165" s="448"/>
      <c r="G165" s="194"/>
      <c r="H165" s="194"/>
      <c r="I165" s="194"/>
      <c r="J165" s="194"/>
      <c r="K165" s="316"/>
      <c r="L165" s="247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</row>
    <row r="166" spans="1:23" ht="24.95" customHeight="1">
      <c r="A166" s="297"/>
      <c r="B166" s="185"/>
      <c r="C166" s="225"/>
      <c r="D166" s="225"/>
      <c r="E166" s="449"/>
      <c r="F166" s="450"/>
      <c r="G166" s="225"/>
      <c r="H166" s="178"/>
      <c r="I166" s="178"/>
      <c r="J166" s="178"/>
      <c r="K166" s="298"/>
      <c r="L166" s="298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</row>
    <row r="167" spans="1:23" ht="24.95" customHeight="1">
      <c r="A167" s="297"/>
      <c r="B167" s="185"/>
      <c r="C167" s="225"/>
      <c r="D167" s="225"/>
      <c r="E167" s="449"/>
      <c r="F167" s="451"/>
      <c r="G167" s="178"/>
      <c r="H167" s="178"/>
      <c r="I167" s="178"/>
      <c r="J167" s="178"/>
      <c r="K167" s="310"/>
      <c r="L167" s="298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</row>
    <row r="168" spans="1:23" ht="24.95" customHeight="1">
      <c r="A168" s="297"/>
      <c r="B168" s="185"/>
      <c r="C168" s="236"/>
      <c r="D168" s="225"/>
      <c r="E168" s="449"/>
      <c r="F168" s="450"/>
      <c r="G168" s="225"/>
      <c r="H168" s="178"/>
      <c r="I168" s="178"/>
      <c r="J168" s="178"/>
      <c r="K168" s="310"/>
      <c r="L168" s="236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</row>
    <row r="169" spans="1:23" ht="24.95" customHeight="1">
      <c r="A169" s="452"/>
      <c r="B169" s="185"/>
      <c r="C169" s="453"/>
      <c r="D169" s="453"/>
      <c r="E169" s="454"/>
      <c r="F169" s="455"/>
      <c r="G169" s="310"/>
      <c r="H169" s="178"/>
      <c r="I169" s="178"/>
      <c r="J169" s="178"/>
      <c r="K169" s="215"/>
      <c r="L169" s="178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</row>
    <row r="170" spans="1:23" ht="21.75">
      <c r="B170"/>
      <c r="C170"/>
    </row>
    <row r="171" spans="1:23" ht="21.75">
      <c r="B171"/>
      <c r="C171"/>
    </row>
    <row r="172" spans="1:23" ht="21.75">
      <c r="B172"/>
      <c r="C172"/>
    </row>
  </sheetData>
  <mergeCells count="101">
    <mergeCell ref="V71:W71"/>
    <mergeCell ref="M75:Q75"/>
    <mergeCell ref="R75:S75"/>
    <mergeCell ref="T79:U79"/>
    <mergeCell ref="V59:W59"/>
    <mergeCell ref="M74:Q74"/>
    <mergeCell ref="R74:S74"/>
    <mergeCell ref="A47:K47"/>
    <mergeCell ref="V56:W56"/>
    <mergeCell ref="V55:W55"/>
    <mergeCell ref="N54:U54"/>
    <mergeCell ref="A48:K49"/>
    <mergeCell ref="N53:U53"/>
    <mergeCell ref="A50:K50"/>
    <mergeCell ref="V64:W64"/>
    <mergeCell ref="V63:W63"/>
    <mergeCell ref="V57:W57"/>
    <mergeCell ref="V58:W58"/>
    <mergeCell ref="V60:W60"/>
    <mergeCell ref="V65:W65"/>
    <mergeCell ref="V66:W66"/>
    <mergeCell ref="V61:W61"/>
    <mergeCell ref="V62:W62"/>
    <mergeCell ref="M72:W73"/>
    <mergeCell ref="V67:W67"/>
    <mergeCell ref="V69:W69"/>
    <mergeCell ref="V70:W70"/>
    <mergeCell ref="V68:W68"/>
    <mergeCell ref="A42:K43"/>
    <mergeCell ref="A40:K41"/>
    <mergeCell ref="K30:M30"/>
    <mergeCell ref="V54:W54"/>
    <mergeCell ref="A46:K46"/>
    <mergeCell ref="A44:K45"/>
    <mergeCell ref="O34:V35"/>
    <mergeCell ref="B34:I35"/>
    <mergeCell ref="B36:H37"/>
    <mergeCell ref="R36:V37"/>
    <mergeCell ref="G30:J30"/>
    <mergeCell ref="A17:W20"/>
    <mergeCell ref="A28:W28"/>
    <mergeCell ref="A29:W29"/>
    <mergeCell ref="A21:W24"/>
    <mergeCell ref="A25:W27"/>
    <mergeCell ref="M159:Q159"/>
    <mergeCell ref="R159:S159"/>
    <mergeCell ref="M160:Q160"/>
    <mergeCell ref="R160:S160"/>
    <mergeCell ref="Q93:Q94"/>
    <mergeCell ref="R107:T107"/>
    <mergeCell ref="R116:S116"/>
    <mergeCell ref="M113:W114"/>
    <mergeCell ref="M115:Q115"/>
    <mergeCell ref="R115:S115"/>
    <mergeCell ref="M116:Q116"/>
    <mergeCell ref="R119:S119"/>
    <mergeCell ref="M117:Q117"/>
    <mergeCell ref="M119:Q119"/>
    <mergeCell ref="M76:Q76"/>
    <mergeCell ref="A82:W84"/>
    <mergeCell ref="A80:W81"/>
    <mergeCell ref="R86:R87"/>
    <mergeCell ref="G86:M87"/>
    <mergeCell ref="B129:D129"/>
    <mergeCell ref="T120:U120"/>
    <mergeCell ref="A122:W122"/>
    <mergeCell ref="B144:D144"/>
    <mergeCell ref="P149:R149"/>
    <mergeCell ref="M164:N164"/>
    <mergeCell ref="O164:Q164"/>
    <mergeCell ref="R164:S164"/>
    <mergeCell ref="T164:U164"/>
    <mergeCell ref="M163:Q163"/>
    <mergeCell ref="B134:C134"/>
    <mergeCell ref="M157:W158"/>
    <mergeCell ref="M120:N120"/>
    <mergeCell ref="O120:Q120"/>
    <mergeCell ref="R120:S120"/>
    <mergeCell ref="A123:W123"/>
    <mergeCell ref="A126:V126"/>
    <mergeCell ref="B128:D128"/>
    <mergeCell ref="R163:S163"/>
    <mergeCell ref="M161:Q161"/>
    <mergeCell ref="H91:I91"/>
    <mergeCell ref="R76:S76"/>
    <mergeCell ref="R77:S77"/>
    <mergeCell ref="M78:Q78"/>
    <mergeCell ref="J90:K90"/>
    <mergeCell ref="R162:S162"/>
    <mergeCell ref="P128:S128"/>
    <mergeCell ref="R117:S117"/>
    <mergeCell ref="R118:S118"/>
    <mergeCell ref="R161:S161"/>
    <mergeCell ref="J88:K88"/>
    <mergeCell ref="L85:M85"/>
    <mergeCell ref="N86:O87"/>
    <mergeCell ref="P86:Q87"/>
    <mergeCell ref="R78:S78"/>
    <mergeCell ref="M79:N79"/>
    <mergeCell ref="O79:Q79"/>
    <mergeCell ref="R79:S79"/>
  </mergeCells>
  <printOptions horizontalCentered="1" verticalCentered="1"/>
  <pageMargins left="0.19685039370078741" right="0.19685039370078741" top="0.19685039370078741" bottom="0.19685039370078741" header="0.11811023622047245" footer="0.11811023622047245"/>
  <pageSetup paperSize="256" scale="56" orientation="landscape" horizontalDpi="4294967293" verticalDpi="4294967293" r:id="rId1"/>
  <headerFooter alignWithMargins="0"/>
  <rowBreaks count="3" manualBreakCount="3">
    <brk id="38" max="22" man="1"/>
    <brk id="79" max="22" man="1"/>
    <brk id="120" max="21" man="1"/>
  </rowBreaks>
  <ignoredErrors>
    <ignoredError sqref="O44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6"/>
  <sheetViews>
    <sheetView showGridLines="0" topLeftCell="A16" workbookViewId="0">
      <selection activeCell="A29" sqref="A29"/>
    </sheetView>
  </sheetViews>
  <sheetFormatPr defaultColWidth="9.140625" defaultRowHeight="24"/>
  <cols>
    <col min="1" max="1" width="9.140625" style="633"/>
    <col min="2" max="2" width="30.7109375" style="634" customWidth="1"/>
    <col min="3" max="3" width="10.85546875" style="634" customWidth="1"/>
    <col min="4" max="16384" width="9.140625" style="634"/>
  </cols>
  <sheetData>
    <row r="1" spans="1:7">
      <c r="A1" s="635" t="s">
        <v>507</v>
      </c>
    </row>
    <row r="2" spans="1:7">
      <c r="B2" s="634" t="s">
        <v>509</v>
      </c>
      <c r="D2" s="634" t="s">
        <v>195</v>
      </c>
      <c r="E2" s="634" t="s">
        <v>324</v>
      </c>
      <c r="G2" s="634" t="s">
        <v>511</v>
      </c>
    </row>
    <row r="3" spans="1:7">
      <c r="B3" s="634" t="s">
        <v>508</v>
      </c>
      <c r="C3" s="636">
        <f>'1.ข้อมูล'!G109</f>
        <v>0</v>
      </c>
      <c r="D3" s="634" t="s">
        <v>195</v>
      </c>
    </row>
    <row r="4" spans="1:7">
      <c r="B4" s="634" t="s">
        <v>510</v>
      </c>
      <c r="C4" s="637">
        <f>'1.ข้อมูล'!G111</f>
        <v>0</v>
      </c>
      <c r="D4" s="634" t="s">
        <v>195</v>
      </c>
    </row>
    <row r="5" spans="1:7">
      <c r="B5" s="634" t="s">
        <v>512</v>
      </c>
    </row>
    <row r="7" spans="1:7">
      <c r="B7" s="634" t="s">
        <v>513</v>
      </c>
    </row>
    <row r="8" spans="1:7">
      <c r="B8" s="634" t="s">
        <v>514</v>
      </c>
    </row>
    <row r="9" spans="1:7">
      <c r="B9" s="634" t="s">
        <v>515</v>
      </c>
    </row>
    <row r="12" spans="1:7">
      <c r="A12" s="634" t="s">
        <v>516</v>
      </c>
      <c r="C12" s="633">
        <f>'1.ข้อมูล'!K113</f>
        <v>35</v>
      </c>
      <c r="D12" s="634" t="s">
        <v>517</v>
      </c>
    </row>
    <row r="13" spans="1:7">
      <c r="B13" s="634" t="s">
        <v>518</v>
      </c>
      <c r="C13" s="669">
        <f>'2.รายการคำนวณ'!Q12</f>
        <v>31200</v>
      </c>
      <c r="D13" s="634" t="s">
        <v>26</v>
      </c>
    </row>
    <row r="14" spans="1:7">
      <c r="A14" s="634" t="s">
        <v>519</v>
      </c>
      <c r="C14" s="636">
        <f>ROUNDDOWN(C12*C13,-0.02)</f>
        <v>1092000</v>
      </c>
      <c r="D14" s="634" t="s">
        <v>88</v>
      </c>
    </row>
    <row r="16" spans="1:7">
      <c r="A16" s="635" t="s">
        <v>521</v>
      </c>
      <c r="C16" s="638">
        <f>'1.ข้อมูล'!Q48</f>
        <v>2684.12</v>
      </c>
    </row>
    <row r="17" spans="1:3">
      <c r="A17" s="635" t="s">
        <v>520</v>
      </c>
      <c r="C17" s="638">
        <f>'1.ข้อมูล'!Q48+'1.ข้อมูล'!U48</f>
        <v>3063.2</v>
      </c>
    </row>
    <row r="18" spans="1:3">
      <c r="A18" s="639" t="s">
        <v>522</v>
      </c>
      <c r="C18" s="634">
        <f>('1.ข้อมูล'!G108+(Sheet1!C12*Sheet1!C17))</f>
        <v>107212</v>
      </c>
    </row>
    <row r="19" spans="1:3">
      <c r="A19" s="639" t="s">
        <v>249</v>
      </c>
      <c r="C19" s="634">
        <f>'1.ข้อมูล'!K115</f>
        <v>25</v>
      </c>
    </row>
    <row r="20" spans="1:3">
      <c r="A20" s="639" t="s">
        <v>523</v>
      </c>
      <c r="C20" s="634">
        <f>C18+C19</f>
        <v>107237</v>
      </c>
    </row>
    <row r="22" spans="1:3">
      <c r="A22" s="635" t="s">
        <v>524</v>
      </c>
      <c r="C22" s="638">
        <f>'1.ข้อมูล'!Q50</f>
        <v>2859.82</v>
      </c>
    </row>
    <row r="23" spans="1:3">
      <c r="A23" s="635" t="s">
        <v>520</v>
      </c>
      <c r="C23" s="638">
        <f>'1.ข้อมูล'!Q50+'1.ข้อมูล'!U50</f>
        <v>2984.8700000000003</v>
      </c>
    </row>
    <row r="24" spans="1:3">
      <c r="A24" s="639" t="s">
        <v>522</v>
      </c>
      <c r="C24" s="634">
        <f>('1.ข้อมูล'!G108+(Sheet1!C12*Sheet1!C23))</f>
        <v>104470.45000000001</v>
      </c>
    </row>
    <row r="25" spans="1:3">
      <c r="A25" s="639" t="s">
        <v>249</v>
      </c>
      <c r="C25" s="634">
        <f>'1.ข้อมูล'!K115</f>
        <v>25</v>
      </c>
    </row>
    <row r="26" spans="1:3">
      <c r="A26" s="639" t="s">
        <v>523</v>
      </c>
      <c r="C26" s="634">
        <f>C24+C25</f>
        <v>104495.45000000001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3399"/>
  </sheetPr>
  <dimension ref="A1:Y45"/>
  <sheetViews>
    <sheetView showGridLines="0" view="pageBreakPreview" zoomScale="115" zoomScaleNormal="115" zoomScaleSheetLayoutView="115" workbookViewId="0">
      <selection activeCell="C4" sqref="C4:L4"/>
    </sheetView>
  </sheetViews>
  <sheetFormatPr defaultColWidth="9.140625" defaultRowHeight="23.25"/>
  <cols>
    <col min="1" max="1" width="6.5703125" style="1615" customWidth="1"/>
    <col min="2" max="2" width="6.7109375" style="1615" customWidth="1"/>
    <col min="3" max="3" width="7.28515625" style="1615" customWidth="1"/>
    <col min="4" max="4" width="5.5703125" style="1615" customWidth="1"/>
    <col min="5" max="5" width="8.140625" style="1615" customWidth="1"/>
    <col min="6" max="6" width="9" style="1615" customWidth="1"/>
    <col min="7" max="7" width="15.28515625" style="1615" customWidth="1"/>
    <col min="8" max="8" width="9.5703125" style="1615" customWidth="1"/>
    <col min="9" max="9" width="21.42578125" style="1621" customWidth="1"/>
    <col min="10" max="10" width="13.85546875" style="1617" customWidth="1"/>
    <col min="11" max="11" width="8.5703125" style="1615" customWidth="1"/>
    <col min="12" max="12" width="13.85546875" style="1615" customWidth="1"/>
    <col min="13" max="13" width="9.140625" style="1615"/>
    <col min="14" max="14" width="17.85546875" style="1615" customWidth="1"/>
    <col min="15" max="15" width="20.140625" style="1615" customWidth="1"/>
    <col min="16" max="16" width="12.85546875" style="1615" customWidth="1"/>
    <col min="17" max="17" width="13.5703125" style="1615" customWidth="1"/>
    <col min="18" max="18" width="10" style="1615" bestFit="1" customWidth="1"/>
    <col min="19" max="16384" width="9.140625" style="1615"/>
  </cols>
  <sheetData>
    <row r="1" spans="1:25" s="1614" customFormat="1" ht="23.25" customHeight="1">
      <c r="A1" s="2056" t="s">
        <v>1404</v>
      </c>
      <c r="B1" s="2056"/>
      <c r="C1" s="2056"/>
      <c r="D1" s="2056"/>
      <c r="E1" s="2056"/>
      <c r="F1" s="2056"/>
      <c r="G1" s="2056"/>
      <c r="H1" s="2056"/>
      <c r="I1" s="2056"/>
      <c r="J1" s="2056"/>
      <c r="K1" s="2056"/>
      <c r="L1" s="2056"/>
    </row>
    <row r="2" spans="1:25" s="1614" customFormat="1" ht="23.25" customHeight="1">
      <c r="A2" s="2056" t="str">
        <f>'1.ข้อมูล'!$A$2</f>
        <v xml:space="preserve">   องค์การบริหารส่วนตำบลเพ็กใหญ่ กรมส่งเสริมการปกครองท้องถิ่น  กระทรวงมหาดไทย</v>
      </c>
      <c r="B2" s="2056"/>
      <c r="C2" s="2056"/>
      <c r="D2" s="2056"/>
      <c r="E2" s="2056"/>
      <c r="F2" s="2056"/>
      <c r="G2" s="2056"/>
      <c r="H2" s="2056"/>
      <c r="I2" s="2056"/>
      <c r="J2" s="2056"/>
      <c r="K2" s="2056"/>
      <c r="L2" s="2056"/>
    </row>
    <row r="3" spans="1:25">
      <c r="I3" s="1616" t="str">
        <f>'1.ข้อมูล'!$J$4</f>
        <v>วันที่  17  เดือน เมษายน พ.ศ. 2567</v>
      </c>
      <c r="M3" s="1618"/>
      <c r="N3" s="1618"/>
      <c r="O3" s="1618"/>
      <c r="P3" s="1618"/>
      <c r="Q3" s="1618"/>
      <c r="R3" s="1618"/>
      <c r="S3" s="1618"/>
      <c r="T3" s="1618"/>
      <c r="U3" s="1618"/>
      <c r="V3" s="1618"/>
      <c r="W3" s="1618"/>
      <c r="X3" s="1618"/>
    </row>
    <row r="4" spans="1:25">
      <c r="A4" s="1615" t="s">
        <v>1284</v>
      </c>
      <c r="C4" s="2091" t="s">
        <v>1428</v>
      </c>
      <c r="D4" s="2091"/>
      <c r="E4" s="2091"/>
      <c r="F4" s="2091"/>
      <c r="G4" s="2091"/>
      <c r="H4" s="2091"/>
      <c r="I4" s="2091"/>
      <c r="J4" s="2091"/>
      <c r="K4" s="2091"/>
      <c r="L4" s="2091"/>
      <c r="M4" s="1619"/>
      <c r="N4" s="1926"/>
      <c r="O4" s="1926"/>
      <c r="P4" s="1926"/>
      <c r="Q4" s="1926"/>
      <c r="R4" s="1926"/>
      <c r="S4" s="1926"/>
      <c r="T4" s="1926"/>
      <c r="U4" s="1926"/>
      <c r="V4" s="1926"/>
      <c r="W4" s="1926"/>
      <c r="X4" s="1926"/>
      <c r="Y4" s="1926"/>
    </row>
    <row r="5" spans="1:25">
      <c r="C5" s="2091" t="s">
        <v>1407</v>
      </c>
      <c r="D5" s="2091"/>
      <c r="E5" s="2091"/>
      <c r="F5" s="2091"/>
      <c r="G5" s="2091"/>
      <c r="H5" s="2091"/>
      <c r="I5" s="2091"/>
      <c r="J5" s="2091"/>
      <c r="K5" s="2091"/>
      <c r="L5" s="2091"/>
      <c r="M5" s="1619"/>
      <c r="N5" s="1827"/>
      <c r="O5" s="1827"/>
      <c r="P5" s="1827"/>
      <c r="Q5" s="1827"/>
      <c r="R5" s="1827"/>
      <c r="S5" s="1827"/>
      <c r="T5" s="1827"/>
      <c r="U5" s="1827"/>
      <c r="V5" s="1827"/>
      <c r="W5" s="1827"/>
      <c r="X5" s="1827"/>
      <c r="Y5" s="1827"/>
    </row>
    <row r="6" spans="1:25">
      <c r="C6" s="1833" t="s">
        <v>1406</v>
      </c>
      <c r="D6" s="1833"/>
      <c r="E6" s="1833"/>
      <c r="F6" s="1833"/>
      <c r="G6" s="1833"/>
      <c r="H6" s="1833"/>
      <c r="I6" s="1833"/>
      <c r="J6" s="1833"/>
      <c r="K6" s="1833"/>
      <c r="L6" s="1833"/>
      <c r="M6" s="1619"/>
      <c r="N6" s="1827"/>
      <c r="O6" s="1827"/>
      <c r="P6" s="1827"/>
      <c r="Q6" s="1827"/>
      <c r="R6" s="1827"/>
      <c r="S6" s="1827"/>
      <c r="T6" s="1827"/>
      <c r="U6" s="1827"/>
      <c r="V6" s="1827"/>
      <c r="W6" s="1827"/>
      <c r="X6" s="1827"/>
      <c r="Y6" s="1827"/>
    </row>
    <row r="7" spans="1:25" ht="23.25" customHeight="1">
      <c r="A7" s="1615" t="s">
        <v>1402</v>
      </c>
      <c r="C7" s="1615" t="s">
        <v>1433</v>
      </c>
      <c r="D7" s="1620"/>
    </row>
    <row r="8" spans="1:25" ht="23.25" customHeight="1">
      <c r="C8" s="1615" t="s">
        <v>1429</v>
      </c>
      <c r="D8" s="1620"/>
    </row>
    <row r="9" spans="1:25" ht="23.25" customHeight="1">
      <c r="A9" s="1615" t="s">
        <v>1395</v>
      </c>
      <c r="D9" s="1622" t="str">
        <f>'3.ปร.4 (2)'!C6</f>
        <v>บ้านเพ็กใหญ่พัฒนา หมู่ที่ 11 ตำบลเพ็กใหญ่ อำเภอพล จังหวัดขอนแก่น</v>
      </c>
      <c r="I9" s="1832"/>
    </row>
    <row r="10" spans="1:25" ht="21.75" customHeight="1">
      <c r="A10" s="1615" t="s">
        <v>1394</v>
      </c>
      <c r="D10" s="1620" t="s">
        <v>1337</v>
      </c>
      <c r="I10" s="1623" t="s">
        <v>1396</v>
      </c>
      <c r="J10" s="1624">
        <f>'1.ข้อมูล'!L9</f>
        <v>0.26800000000000002</v>
      </c>
      <c r="K10" s="1617" t="s">
        <v>37</v>
      </c>
    </row>
    <row r="11" spans="1:25">
      <c r="A11" s="1615" t="s">
        <v>1397</v>
      </c>
      <c r="D11" s="1620" t="s">
        <v>166</v>
      </c>
      <c r="F11" s="1625" t="s">
        <v>1198</v>
      </c>
      <c r="I11" s="1623" t="s">
        <v>1398</v>
      </c>
      <c r="J11" s="1626">
        <v>5</v>
      </c>
      <c r="K11" s="1617" t="s">
        <v>45</v>
      </c>
      <c r="N11" s="1627" t="s">
        <v>1284</v>
      </c>
      <c r="O11" s="1628"/>
      <c r="P11" s="1629"/>
      <c r="Q11" s="1629"/>
      <c r="R11" s="1629"/>
      <c r="S11" s="1629"/>
      <c r="T11" s="1629"/>
      <c r="U11" s="1629"/>
      <c r="V11" s="1629"/>
    </row>
    <row r="12" spans="1:25" ht="24" thickBot="1">
      <c r="A12" s="1615" t="s">
        <v>167</v>
      </c>
      <c r="D12" s="1620" t="s">
        <v>168</v>
      </c>
      <c r="F12" s="1625" t="s">
        <v>301</v>
      </c>
      <c r="I12" s="1623" t="s">
        <v>284</v>
      </c>
      <c r="J12" s="1630">
        <v>0</v>
      </c>
      <c r="K12" s="1617" t="s">
        <v>45</v>
      </c>
      <c r="N12" s="1629" t="s">
        <v>1285</v>
      </c>
      <c r="O12" s="1628"/>
      <c r="P12" s="1629"/>
      <c r="Q12" s="1629"/>
      <c r="R12" s="1629"/>
      <c r="S12" s="1629"/>
      <c r="T12" s="1629"/>
      <c r="U12" s="1629"/>
      <c r="V12" s="1629"/>
    </row>
    <row r="13" spans="1:25" ht="24" thickBot="1">
      <c r="A13" s="2057"/>
      <c r="B13" s="2057"/>
      <c r="C13" s="1631"/>
      <c r="D13" s="1617" t="s">
        <v>1409</v>
      </c>
      <c r="E13" s="1631"/>
      <c r="F13" s="1632"/>
      <c r="G13" s="1633"/>
      <c r="H13" s="1634"/>
      <c r="I13" s="1635" t="s">
        <v>1222</v>
      </c>
      <c r="J13" s="1636">
        <f>Sheet3!O25</f>
        <v>1340</v>
      </c>
      <c r="K13" s="1637" t="s">
        <v>26</v>
      </c>
      <c r="N13" s="1638" t="s">
        <v>1286</v>
      </c>
      <c r="O13" s="1639" t="s">
        <v>1287</v>
      </c>
      <c r="P13" s="1640"/>
      <c r="Q13" s="1629"/>
      <c r="R13" s="1629"/>
      <c r="S13" s="1629"/>
      <c r="T13" s="1629"/>
      <c r="U13" s="1629"/>
      <c r="V13" s="1629"/>
    </row>
    <row r="14" spans="1:25" ht="21" customHeight="1">
      <c r="B14" s="1641"/>
      <c r="C14" s="1642"/>
      <c r="D14" s="1617" t="s">
        <v>1410</v>
      </c>
      <c r="E14" s="1642"/>
      <c r="F14" s="1643"/>
      <c r="G14" s="1643"/>
      <c r="H14" s="1642"/>
      <c r="I14" s="1644"/>
      <c r="J14" s="1645"/>
      <c r="K14" s="1644"/>
      <c r="M14" s="1646"/>
      <c r="N14" s="1647" t="s">
        <v>1288</v>
      </c>
      <c r="O14" s="1648">
        <f>'3.ปร.4 (2)'!I121</f>
        <v>448310.91738066095</v>
      </c>
      <c r="P14" s="1649" t="s">
        <v>1289</v>
      </c>
      <c r="Q14" s="1629"/>
      <c r="R14" s="1629"/>
      <c r="S14" s="1629"/>
      <c r="T14" s="1629"/>
      <c r="U14" s="1629"/>
      <c r="V14" s="1629"/>
    </row>
    <row r="15" spans="1:25" ht="21.75" customHeight="1">
      <c r="A15" s="1650" t="s">
        <v>1122</v>
      </c>
      <c r="B15" s="2059" t="s">
        <v>1</v>
      </c>
      <c r="C15" s="2060"/>
      <c r="D15" s="2060"/>
      <c r="E15" s="2060"/>
      <c r="F15" s="2060"/>
      <c r="G15" s="2061"/>
      <c r="H15" s="2062" t="s">
        <v>170</v>
      </c>
      <c r="I15" s="2063"/>
      <c r="J15" s="2064" t="s">
        <v>171</v>
      </c>
      <c r="K15" s="2065"/>
      <c r="L15" s="2066"/>
      <c r="M15" s="1646"/>
      <c r="N15" s="1647" t="s">
        <v>1290</v>
      </c>
      <c r="O15" s="1648">
        <v>5000000</v>
      </c>
      <c r="P15" s="1629" t="s">
        <v>1291</v>
      </c>
      <c r="Q15" s="1629"/>
      <c r="R15" s="1629"/>
      <c r="S15" s="1629"/>
      <c r="T15" s="1629"/>
      <c r="U15" s="1629"/>
      <c r="V15" s="1629"/>
    </row>
    <row r="16" spans="1:25">
      <c r="A16" s="1651">
        <v>1</v>
      </c>
      <c r="B16" s="2067" t="s">
        <v>303</v>
      </c>
      <c r="C16" s="2068"/>
      <c r="D16" s="2068"/>
      <c r="E16" s="2068"/>
      <c r="F16" s="2068"/>
      <c r="G16" s="2069"/>
      <c r="H16" s="2070">
        <f>'3.ปร.4 (2)'!L137</f>
        <v>614035.29349069775</v>
      </c>
      <c r="I16" s="2071"/>
      <c r="J16" s="1652" t="s">
        <v>2</v>
      </c>
      <c r="K16" s="1653"/>
      <c r="L16" s="1654">
        <v>1.3642000000000001</v>
      </c>
      <c r="M16" s="1646"/>
      <c r="N16" s="1647" t="s">
        <v>1292</v>
      </c>
      <c r="O16" s="1648">
        <v>10000000</v>
      </c>
      <c r="P16" s="1629" t="s">
        <v>1293</v>
      </c>
      <c r="Q16" s="1629"/>
      <c r="R16" s="1629"/>
      <c r="S16" s="1629"/>
      <c r="T16" s="1629"/>
      <c r="U16" s="1629"/>
      <c r="V16" s="1629"/>
    </row>
    <row r="17" spans="1:22" ht="21" customHeight="1">
      <c r="A17" s="1651">
        <v>2</v>
      </c>
      <c r="B17" s="2072" t="s">
        <v>1211</v>
      </c>
      <c r="C17" s="2073"/>
      <c r="D17" s="2073"/>
      <c r="E17" s="2073"/>
      <c r="F17" s="2073"/>
      <c r="G17" s="2074"/>
      <c r="H17" s="2078"/>
      <c r="I17" s="2079"/>
      <c r="J17" s="1652" t="s">
        <v>172</v>
      </c>
      <c r="K17" s="1655"/>
      <c r="L17" s="1656">
        <f>'1.ข้อมูล'!$Q$10/100</f>
        <v>0</v>
      </c>
      <c r="M17" s="1646"/>
      <c r="N17" s="1647" t="s">
        <v>1294</v>
      </c>
      <c r="O17" s="1657">
        <v>1.3642000000000001</v>
      </c>
      <c r="P17" s="1629" t="s">
        <v>1295</v>
      </c>
      <c r="Q17" s="1629"/>
      <c r="R17" s="1629"/>
      <c r="S17" s="1629"/>
      <c r="T17" s="1629"/>
      <c r="U17" s="1629"/>
      <c r="V17" s="1629"/>
    </row>
    <row r="18" spans="1:22">
      <c r="A18" s="1658"/>
      <c r="B18" s="2072"/>
      <c r="C18" s="2073"/>
      <c r="D18" s="2073"/>
      <c r="E18" s="2073"/>
      <c r="F18" s="2073"/>
      <c r="G18" s="2074"/>
      <c r="H18" s="2078"/>
      <c r="I18" s="2079"/>
      <c r="J18" s="1652" t="s">
        <v>173</v>
      </c>
      <c r="K18" s="1655"/>
      <c r="L18" s="1656">
        <v>7.0000000000000007E-2</v>
      </c>
      <c r="N18" s="1647" t="s">
        <v>1296</v>
      </c>
      <c r="O18" s="1657">
        <v>0</v>
      </c>
      <c r="P18" s="1629" t="s">
        <v>1297</v>
      </c>
      <c r="Q18" s="1629"/>
      <c r="R18" s="1629"/>
      <c r="S18" s="1629"/>
      <c r="T18" s="1629"/>
      <c r="U18" s="1629"/>
      <c r="V18" s="1629"/>
    </row>
    <row r="19" spans="1:22" ht="24" thickBot="1">
      <c r="A19" s="1658"/>
      <c r="B19" s="2075"/>
      <c r="C19" s="2076"/>
      <c r="D19" s="2076"/>
      <c r="E19" s="2076"/>
      <c r="F19" s="2076"/>
      <c r="G19" s="2077"/>
      <c r="H19" s="2078"/>
      <c r="I19" s="2079"/>
      <c r="J19" s="1652" t="s">
        <v>174</v>
      </c>
      <c r="K19" s="1655"/>
      <c r="L19" s="1656">
        <f>'1.ข้อมูล'!$Q$12/100</f>
        <v>0</v>
      </c>
      <c r="N19" s="1629"/>
      <c r="O19" s="1629"/>
      <c r="P19" s="1629"/>
      <c r="Q19" s="1629"/>
      <c r="R19" s="1629"/>
      <c r="S19" s="1629"/>
      <c r="T19" s="1629"/>
      <c r="U19" s="1629"/>
      <c r="V19" s="1629"/>
    </row>
    <row r="20" spans="1:22">
      <c r="A20" s="1658"/>
      <c r="B20" s="1659"/>
      <c r="C20" s="1642"/>
      <c r="D20" s="1642"/>
      <c r="E20" s="1642"/>
      <c r="F20" s="1642"/>
      <c r="G20" s="1660"/>
      <c r="H20" s="1661"/>
      <c r="I20" s="1662"/>
      <c r="J20" s="1652" t="s">
        <v>1210</v>
      </c>
      <c r="K20" s="1655"/>
      <c r="L20" s="1656">
        <f>'1.ข้อมูล'!$Q$13/100</f>
        <v>7.0000000000000007E-2</v>
      </c>
      <c r="N20" s="1629"/>
      <c r="O20" s="1663" t="s">
        <v>1298</v>
      </c>
      <c r="P20" s="1664" t="s">
        <v>1299</v>
      </c>
      <c r="Q20" s="1664" t="s">
        <v>1300</v>
      </c>
      <c r="R20" s="1665" t="s">
        <v>1301</v>
      </c>
      <c r="S20" s="1666"/>
      <c r="T20" s="1629"/>
      <c r="U20" s="1629"/>
      <c r="V20" s="1629"/>
    </row>
    <row r="21" spans="1:22" ht="24" thickBot="1">
      <c r="A21" s="1658"/>
      <c r="B21" s="2075"/>
      <c r="C21" s="2076"/>
      <c r="D21" s="2076"/>
      <c r="E21" s="2076"/>
      <c r="F21" s="2076"/>
      <c r="G21" s="2077"/>
      <c r="H21" s="2078"/>
      <c r="I21" s="2079"/>
      <c r="J21" s="1652" t="s">
        <v>175</v>
      </c>
      <c r="K21" s="1667" t="str">
        <f>'1.ข้อมูล'!$D$214</f>
        <v>ฝนตกปกติ</v>
      </c>
      <c r="L21" s="1668"/>
      <c r="N21" s="1629"/>
      <c r="O21" s="1669"/>
      <c r="P21" s="1670">
        <f>O17-O18</f>
        <v>1.3642000000000001</v>
      </c>
      <c r="Q21" s="1671">
        <f>O14-O15</f>
        <v>-4551689.0826193392</v>
      </c>
      <c r="R21" s="1672">
        <f>O16-O15</f>
        <v>5000000</v>
      </c>
      <c r="S21" s="1673"/>
      <c r="T21" s="1674"/>
      <c r="U21" s="1629"/>
      <c r="V21" s="1629"/>
    </row>
    <row r="22" spans="1:22" ht="24" thickBot="1">
      <c r="A22" s="1675"/>
      <c r="B22" s="2092"/>
      <c r="C22" s="2093"/>
      <c r="D22" s="2093"/>
      <c r="E22" s="2093"/>
      <c r="F22" s="2093"/>
      <c r="G22" s="2094"/>
      <c r="H22" s="2080"/>
      <c r="I22" s="2081"/>
      <c r="J22" s="1676"/>
      <c r="K22" s="1655"/>
      <c r="L22" s="1668"/>
      <c r="N22" s="1629"/>
      <c r="O22" s="1677" t="s">
        <v>1302</v>
      </c>
      <c r="P22" s="1678"/>
      <c r="Q22" s="1679">
        <f>O17-((P21*Q21)/R21)</f>
        <v>2.6060828493018606</v>
      </c>
      <c r="R22" s="1680"/>
      <c r="S22" s="1629"/>
      <c r="T22" s="1681"/>
      <c r="U22" s="1629"/>
      <c r="V22" s="1629"/>
    </row>
    <row r="23" spans="1:22">
      <c r="A23" s="1651" t="s">
        <v>176</v>
      </c>
      <c r="B23" s="1658" t="s">
        <v>281</v>
      </c>
      <c r="C23" s="1655"/>
      <c r="D23" s="1655"/>
      <c r="E23" s="1655"/>
      <c r="F23" s="1655"/>
      <c r="G23" s="1655"/>
      <c r="H23" s="2082">
        <f>H16+H17+H22</f>
        <v>614035.29349069775</v>
      </c>
      <c r="I23" s="2083"/>
      <c r="J23" s="1682"/>
      <c r="K23" s="1653"/>
      <c r="L23" s="1683"/>
      <c r="N23" s="1629"/>
      <c r="O23" s="1629"/>
      <c r="P23" s="1629"/>
      <c r="Q23" s="1629"/>
      <c r="R23" s="1629"/>
      <c r="S23" s="1629"/>
      <c r="T23" s="1629"/>
      <c r="U23" s="1629"/>
      <c r="V23" s="1629"/>
    </row>
    <row r="24" spans="1:22" ht="24" thickBot="1">
      <c r="A24" s="1658"/>
      <c r="B24" s="1658" t="s">
        <v>1341</v>
      </c>
      <c r="C24" s="1655"/>
      <c r="D24" s="1655"/>
      <c r="E24" s="1655"/>
      <c r="F24" s="1655"/>
      <c r="G24" s="1655"/>
      <c r="H24" s="2084">
        <f>ROUNDDOWN(H23,-3)</f>
        <v>614000</v>
      </c>
      <c r="I24" s="2085"/>
      <c r="J24" s="1652"/>
      <c r="K24" s="1655"/>
      <c r="L24" s="1668"/>
      <c r="N24" s="1684"/>
      <c r="P24" s="1685"/>
    </row>
    <row r="25" spans="1:22" ht="24" thickTop="1">
      <c r="A25" s="1686"/>
      <c r="B25" s="1686" t="str">
        <f xml:space="preserve"> "("&amp;BAHTTEXT($H$24)&amp;")"</f>
        <v>(หกแสนหนึ่งหมื่นสี่พันบาทถ้วน)</v>
      </c>
      <c r="C25" s="1687"/>
      <c r="D25" s="1687"/>
      <c r="E25" s="1687"/>
      <c r="F25" s="1687"/>
      <c r="G25" s="1687"/>
      <c r="H25" s="1687"/>
      <c r="I25" s="1688"/>
      <c r="J25" s="1689"/>
      <c r="K25" s="1687"/>
      <c r="L25" s="1690"/>
    </row>
    <row r="26" spans="1:22">
      <c r="A26" s="1655"/>
      <c r="B26" s="1655"/>
      <c r="C26" s="1655"/>
      <c r="D26" s="1653"/>
      <c r="E26" s="1653"/>
      <c r="F26" s="1655"/>
      <c r="G26" s="1655"/>
      <c r="H26" s="1655"/>
      <c r="I26" s="1691"/>
      <c r="J26" s="1637"/>
      <c r="K26" s="1655"/>
      <c r="L26" s="1655"/>
    </row>
    <row r="27" spans="1:22">
      <c r="B27" s="1615" t="s">
        <v>177</v>
      </c>
      <c r="E27" s="1824">
        <f>J10</f>
        <v>0.26800000000000002</v>
      </c>
      <c r="F27" s="1615" t="s">
        <v>37</v>
      </c>
    </row>
    <row r="28" spans="1:22">
      <c r="B28" s="1615" t="s">
        <v>178</v>
      </c>
      <c r="D28" s="2058">
        <f>H24/E27</f>
        <v>2291044.7761194031</v>
      </c>
      <c r="E28" s="2058"/>
      <c r="F28" s="1615" t="s">
        <v>1194</v>
      </c>
      <c r="G28" s="1692">
        <f>H24/J13</f>
        <v>458.20895522388059</v>
      </c>
      <c r="H28" s="1615" t="s">
        <v>115</v>
      </c>
    </row>
    <row r="29" spans="1:22" ht="5.45" customHeight="1">
      <c r="D29" s="1693"/>
      <c r="E29" s="1693"/>
      <c r="I29" s="1694"/>
    </row>
    <row r="30" spans="1:22" s="1614" customFormat="1">
      <c r="B30" s="2087"/>
      <c r="C30" s="2087"/>
      <c r="D30" s="2087"/>
      <c r="E30" s="2087"/>
      <c r="F30" s="2087"/>
      <c r="G30" s="1695"/>
      <c r="H30" s="1695"/>
    </row>
    <row r="31" spans="1:22" s="1614" customFormat="1">
      <c r="A31" s="1696" t="s">
        <v>1111</v>
      </c>
      <c r="B31" s="2090" t="s">
        <v>1420</v>
      </c>
      <c r="C31" s="2090"/>
      <c r="D31" s="2090"/>
      <c r="E31" s="2090"/>
      <c r="F31" s="2090"/>
      <c r="G31" s="1835" t="s">
        <v>1419</v>
      </c>
      <c r="H31" s="1697" t="s">
        <v>1111</v>
      </c>
      <c r="I31" s="2086" t="s">
        <v>1339</v>
      </c>
      <c r="J31" s="2086"/>
      <c r="K31" s="2086"/>
      <c r="L31" s="1695" t="s">
        <v>276</v>
      </c>
    </row>
    <row r="32" spans="1:22" s="1614" customFormat="1" ht="18.75" customHeight="1">
      <c r="B32" s="2088" t="s">
        <v>1445</v>
      </c>
      <c r="C32" s="2086"/>
      <c r="D32" s="2086"/>
      <c r="E32" s="2086"/>
      <c r="F32" s="2086"/>
      <c r="G32" s="1698"/>
      <c r="I32" s="2089" t="s">
        <v>1446</v>
      </c>
      <c r="J32" s="2089"/>
      <c r="K32" s="2089"/>
      <c r="L32" s="1699"/>
    </row>
    <row r="33" spans="1:12">
      <c r="A33" s="1614"/>
      <c r="B33" s="2088" t="s">
        <v>1208</v>
      </c>
      <c r="C33" s="2086"/>
      <c r="D33" s="2086"/>
      <c r="E33" s="2086"/>
      <c r="F33" s="2086"/>
      <c r="G33" s="1698"/>
      <c r="I33" s="2089" t="s">
        <v>972</v>
      </c>
      <c r="J33" s="2089"/>
      <c r="K33" s="2089"/>
    </row>
    <row r="34" spans="1:12">
      <c r="A34" s="1614"/>
      <c r="B34" s="2086"/>
      <c r="C34" s="2086"/>
      <c r="D34" s="2086"/>
      <c r="E34" s="2086"/>
      <c r="F34" s="2086"/>
      <c r="G34" s="1698"/>
      <c r="H34" s="1700"/>
      <c r="I34" s="2086"/>
      <c r="J34" s="2086"/>
      <c r="K34" s="2086"/>
      <c r="L34" s="2086"/>
    </row>
    <row r="35" spans="1:12">
      <c r="A35" s="1701" t="s">
        <v>1111</v>
      </c>
      <c r="B35" s="2088" t="s">
        <v>298</v>
      </c>
      <c r="C35" s="2088"/>
      <c r="D35" s="2088"/>
      <c r="E35" s="2088"/>
      <c r="F35" s="2088"/>
      <c r="G35" s="1702" t="s">
        <v>289</v>
      </c>
      <c r="H35" s="1697"/>
      <c r="I35" s="2086"/>
      <c r="J35" s="2086"/>
      <c r="K35" s="2086"/>
      <c r="L35" s="1695"/>
    </row>
    <row r="36" spans="1:12">
      <c r="B36" s="2088" t="s">
        <v>1447</v>
      </c>
      <c r="C36" s="2086"/>
      <c r="D36" s="2086"/>
      <c r="E36" s="2086"/>
      <c r="F36" s="2086"/>
      <c r="G36" s="1695"/>
      <c r="H36" s="1614"/>
      <c r="I36" s="2089"/>
      <c r="J36" s="2089"/>
      <c r="K36" s="2089"/>
      <c r="L36" s="1699"/>
    </row>
    <row r="37" spans="1:12">
      <c r="B37" s="2086" t="s">
        <v>1444</v>
      </c>
      <c r="C37" s="2086"/>
      <c r="D37" s="2086"/>
      <c r="E37" s="2086"/>
      <c r="F37" s="2086"/>
      <c r="G37" s="1703"/>
      <c r="I37" s="2089"/>
      <c r="J37" s="2089"/>
      <c r="K37" s="2089"/>
    </row>
    <row r="38" spans="1:12">
      <c r="A38" s="1614"/>
      <c r="B38" s="2086"/>
      <c r="C38" s="2086"/>
      <c r="D38" s="2086"/>
      <c r="E38" s="2086"/>
      <c r="F38" s="2086"/>
      <c r="G38" s="1695"/>
      <c r="H38" s="1695"/>
    </row>
    <row r="39" spans="1:12">
      <c r="A39" s="1614"/>
      <c r="B39" s="2086"/>
      <c r="C39" s="2086"/>
      <c r="D39" s="2086"/>
      <c r="E39" s="2086"/>
      <c r="F39" s="2086"/>
      <c r="G39" s="1695"/>
    </row>
    <row r="40" spans="1:12">
      <c r="A40" s="1614"/>
      <c r="B40" s="2086"/>
      <c r="C40" s="2086"/>
      <c r="D40" s="2086"/>
      <c r="E40" s="2086"/>
      <c r="F40" s="2086"/>
      <c r="G40" s="1695"/>
      <c r="H40" s="1700"/>
      <c r="I40" s="2086"/>
      <c r="J40" s="2086"/>
      <c r="K40" s="2086"/>
      <c r="L40" s="2086"/>
    </row>
    <row r="41" spans="1:12">
      <c r="A41" s="1614"/>
      <c r="B41" s="2086"/>
      <c r="C41" s="2086"/>
      <c r="D41" s="2086"/>
      <c r="E41" s="2086"/>
      <c r="F41" s="2086"/>
      <c r="G41" s="1695"/>
      <c r="H41" s="1695"/>
      <c r="I41" s="2086"/>
      <c r="J41" s="2086"/>
      <c r="K41" s="2086"/>
      <c r="L41" s="2086"/>
    </row>
    <row r="42" spans="1:12">
      <c r="A42" s="1614"/>
      <c r="B42" s="1705"/>
      <c r="C42" s="1705"/>
      <c r="D42" s="1705"/>
      <c r="E42" s="1705"/>
      <c r="G42" s="1695"/>
      <c r="H42" s="1695"/>
      <c r="I42" s="2086"/>
      <c r="J42" s="2086"/>
      <c r="K42" s="2086"/>
      <c r="L42" s="2086"/>
    </row>
    <row r="43" spans="1:12">
      <c r="A43" s="1614"/>
      <c r="B43" s="1614"/>
      <c r="C43" s="1706"/>
      <c r="D43" s="1706"/>
      <c r="E43" s="1706"/>
      <c r="F43" s="1706"/>
      <c r="G43" s="1706"/>
      <c r="H43" s="1707"/>
      <c r="I43" s="2086"/>
      <c r="J43" s="2086"/>
      <c r="K43" s="2086"/>
      <c r="L43" s="2086"/>
    </row>
    <row r="44" spans="1:12">
      <c r="A44" s="1614"/>
      <c r="B44" s="1614"/>
      <c r="C44" s="1706"/>
      <c r="D44" s="1706"/>
      <c r="E44" s="1706"/>
      <c r="F44" s="1706"/>
      <c r="G44" s="1706"/>
    </row>
    <row r="45" spans="1:12">
      <c r="A45" s="1614"/>
      <c r="B45" s="1614"/>
      <c r="C45" s="1706"/>
      <c r="D45" s="1706"/>
      <c r="E45" s="1706"/>
      <c r="F45" s="1706"/>
      <c r="G45" s="1706"/>
    </row>
  </sheetData>
  <mergeCells count="46">
    <mergeCell ref="B31:F31"/>
    <mergeCell ref="I37:K37"/>
    <mergeCell ref="N4:Y4"/>
    <mergeCell ref="C4:L4"/>
    <mergeCell ref="B35:F35"/>
    <mergeCell ref="I31:K31"/>
    <mergeCell ref="I32:K32"/>
    <mergeCell ref="I33:K33"/>
    <mergeCell ref="H18:I18"/>
    <mergeCell ref="B22:G22"/>
    <mergeCell ref="B21:G21"/>
    <mergeCell ref="H19:I19"/>
    <mergeCell ref="I35:K35"/>
    <mergeCell ref="C5:L5"/>
    <mergeCell ref="I43:L43"/>
    <mergeCell ref="B30:F30"/>
    <mergeCell ref="B32:F32"/>
    <mergeCell ref="B33:F33"/>
    <mergeCell ref="B34:F34"/>
    <mergeCell ref="B36:F36"/>
    <mergeCell ref="B37:F37"/>
    <mergeCell ref="B38:F38"/>
    <mergeCell ref="B39:F39"/>
    <mergeCell ref="B40:F40"/>
    <mergeCell ref="B41:F41"/>
    <mergeCell ref="I34:L34"/>
    <mergeCell ref="I42:L42"/>
    <mergeCell ref="I41:L41"/>
    <mergeCell ref="I36:K36"/>
    <mergeCell ref="I40:L40"/>
    <mergeCell ref="A1:L1"/>
    <mergeCell ref="A2:L2"/>
    <mergeCell ref="A13:B13"/>
    <mergeCell ref="D28:E28"/>
    <mergeCell ref="B15:G15"/>
    <mergeCell ref="H15:I15"/>
    <mergeCell ref="J15:L15"/>
    <mergeCell ref="B16:G16"/>
    <mergeCell ref="H16:I16"/>
    <mergeCell ref="B17:G18"/>
    <mergeCell ref="B19:G19"/>
    <mergeCell ref="H17:I17"/>
    <mergeCell ref="H21:I21"/>
    <mergeCell ref="H22:I22"/>
    <mergeCell ref="H23:I23"/>
    <mergeCell ref="H24:I24"/>
  </mergeCells>
  <phoneticPr fontId="159" type="noConversion"/>
  <printOptions horizontalCentered="1"/>
  <pageMargins left="0.19685039370078741" right="0.19685039370078741" top="0.78740157480314965" bottom="0.39370078740157483" header="0.51181102362204722" footer="0.51181102362204722"/>
  <pageSetup paperSize="9" scale="87" orientation="portrait" blackAndWhite="1" horizontalDpi="4294967292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</sheetPr>
  <dimension ref="A1:K36"/>
  <sheetViews>
    <sheetView topLeftCell="A16" workbookViewId="0">
      <selection activeCell="M26" sqref="M26"/>
    </sheetView>
  </sheetViews>
  <sheetFormatPr defaultColWidth="10.85546875" defaultRowHeight="21.75"/>
  <cols>
    <col min="1" max="1" width="5.5703125" style="1384" customWidth="1"/>
    <col min="2" max="2" width="31.140625" style="1384" customWidth="1"/>
    <col min="3" max="3" width="8.5703125" style="1384" customWidth="1"/>
    <col min="4" max="4" width="10.42578125" style="1384" customWidth="1"/>
    <col min="5" max="5" width="9.28515625" style="1384" customWidth="1"/>
    <col min="6" max="6" width="8.85546875" style="1384" customWidth="1"/>
    <col min="7" max="7" width="9.28515625" style="1384" customWidth="1"/>
    <col min="8" max="8" width="10.7109375" style="1384" customWidth="1"/>
    <col min="9" max="9" width="10.85546875" style="1384" customWidth="1"/>
    <col min="10" max="10" width="17.140625" style="1384" customWidth="1"/>
    <col min="11" max="16384" width="10.85546875" style="1384"/>
  </cols>
  <sheetData>
    <row r="1" spans="1:11">
      <c r="A1" s="2099" t="s">
        <v>1377</v>
      </c>
      <c r="B1" s="2099"/>
      <c r="C1" s="2099"/>
      <c r="D1" s="2099"/>
      <c r="E1" s="2099"/>
      <c r="F1" s="2099"/>
      <c r="G1" s="2099"/>
      <c r="H1" s="2099"/>
      <c r="I1" s="2099"/>
      <c r="J1" s="2099"/>
    </row>
    <row r="2" spans="1:11">
      <c r="A2" s="1385" t="s">
        <v>1376</v>
      </c>
      <c r="B2" s="1386"/>
      <c r="C2" s="1386"/>
      <c r="D2" s="1386"/>
      <c r="E2" s="1386"/>
      <c r="F2" s="1386"/>
      <c r="G2" s="1386"/>
      <c r="H2" s="1386"/>
      <c r="I2" s="1386"/>
      <c r="J2" s="1386"/>
      <c r="K2" s="1386"/>
    </row>
    <row r="3" spans="1:11">
      <c r="A3" s="1384" t="s">
        <v>1342</v>
      </c>
      <c r="C3" s="1384" t="s">
        <v>1362</v>
      </c>
      <c r="D3" s="1384" t="s">
        <v>72</v>
      </c>
      <c r="E3" s="1384" t="s">
        <v>1363</v>
      </c>
      <c r="G3" s="1384" t="s">
        <v>1416</v>
      </c>
    </row>
    <row r="4" spans="1:11">
      <c r="A4" s="1387" t="s">
        <v>1364</v>
      </c>
      <c r="E4" s="1388" t="s">
        <v>1343</v>
      </c>
    </row>
    <row r="5" spans="1:11">
      <c r="A5" s="1387" t="s">
        <v>1344</v>
      </c>
      <c r="E5" s="1388" t="s">
        <v>1345</v>
      </c>
    </row>
    <row r="6" spans="1:11" ht="7.15" customHeight="1" thickBot="1"/>
    <row r="7" spans="1:11" s="1392" customFormat="1" ht="33.6" customHeight="1">
      <c r="A7" s="2095" t="s">
        <v>0</v>
      </c>
      <c r="B7" s="2097" t="s">
        <v>1</v>
      </c>
      <c r="C7" s="1389" t="s">
        <v>18</v>
      </c>
      <c r="D7" s="1389" t="s">
        <v>1090</v>
      </c>
      <c r="E7" s="1390" t="s">
        <v>4</v>
      </c>
      <c r="F7" s="1390" t="s">
        <v>423</v>
      </c>
      <c r="G7" s="1390" t="s">
        <v>1346</v>
      </c>
      <c r="H7" s="1874" t="s">
        <v>1347</v>
      </c>
      <c r="I7" s="1389" t="s">
        <v>23</v>
      </c>
      <c r="J7" s="1391" t="s">
        <v>15</v>
      </c>
    </row>
    <row r="8" spans="1:11" s="1392" customFormat="1">
      <c r="A8" s="2096"/>
      <c r="B8" s="2098"/>
      <c r="C8" s="1393"/>
      <c r="D8" s="1393" t="s">
        <v>24</v>
      </c>
      <c r="E8" s="1393" t="s">
        <v>24</v>
      </c>
      <c r="F8" s="1393" t="s">
        <v>24</v>
      </c>
      <c r="G8" s="1393" t="s">
        <v>24</v>
      </c>
      <c r="H8" s="1393" t="s">
        <v>24</v>
      </c>
      <c r="I8" s="1393" t="s">
        <v>24</v>
      </c>
      <c r="J8" s="1394"/>
    </row>
    <row r="9" spans="1:11">
      <c r="A9" s="1395">
        <v>1</v>
      </c>
      <c r="B9" s="1396" t="s">
        <v>1372</v>
      </c>
      <c r="C9" s="1397" t="s">
        <v>7</v>
      </c>
      <c r="D9" s="1873">
        <v>22370.92</v>
      </c>
      <c r="E9" s="1396"/>
      <c r="F9" s="1396"/>
      <c r="G9" s="1396">
        <v>80</v>
      </c>
      <c r="H9" s="1396">
        <v>3100</v>
      </c>
      <c r="I9" s="1873">
        <f>D9+H9+G9</f>
        <v>25550.92</v>
      </c>
      <c r="J9" s="1406" t="s">
        <v>1367</v>
      </c>
    </row>
    <row r="10" spans="1:11">
      <c r="A10" s="1399">
        <v>2</v>
      </c>
      <c r="B10" s="1400" t="s">
        <v>1373</v>
      </c>
      <c r="C10" s="1401" t="s">
        <v>7</v>
      </c>
      <c r="D10" s="1871">
        <v>21887.9</v>
      </c>
      <c r="E10" s="1400"/>
      <c r="F10" s="1400"/>
      <c r="G10" s="1400">
        <v>80</v>
      </c>
      <c r="H10" s="1400">
        <v>3600</v>
      </c>
      <c r="I10" s="1871">
        <f>D10+H10+G10</f>
        <v>25567.9</v>
      </c>
      <c r="J10" s="1406" t="s">
        <v>1367</v>
      </c>
    </row>
    <row r="11" spans="1:11">
      <c r="A11" s="1399">
        <v>3</v>
      </c>
      <c r="B11" s="1400" t="s">
        <v>1348</v>
      </c>
      <c r="C11" s="1401" t="s">
        <v>7</v>
      </c>
      <c r="D11" s="1400"/>
      <c r="E11" s="1400"/>
      <c r="F11" s="1400"/>
      <c r="G11" s="1400"/>
      <c r="H11" s="1400"/>
      <c r="I11" s="1400"/>
      <c r="J11" s="1406"/>
    </row>
    <row r="12" spans="1:11">
      <c r="A12" s="1399">
        <v>4</v>
      </c>
      <c r="B12" s="1875" t="s">
        <v>1437</v>
      </c>
      <c r="C12" s="1401" t="s">
        <v>115</v>
      </c>
      <c r="D12" s="1400">
        <v>51.24</v>
      </c>
      <c r="E12" s="1400"/>
      <c r="F12" s="1400"/>
      <c r="G12" s="1400"/>
      <c r="H12" s="1400">
        <v>5</v>
      </c>
      <c r="I12" s="1400">
        <f>D12+H12</f>
        <v>56.24</v>
      </c>
      <c r="J12" s="1406" t="s">
        <v>1367</v>
      </c>
    </row>
    <row r="13" spans="1:11">
      <c r="A13" s="1399">
        <v>5</v>
      </c>
      <c r="B13" s="1400" t="s">
        <v>899</v>
      </c>
      <c r="C13" s="1401" t="s">
        <v>1365</v>
      </c>
      <c r="D13" s="1834">
        <v>80</v>
      </c>
      <c r="E13" s="1400"/>
      <c r="F13" s="1400"/>
      <c r="G13" s="1400"/>
      <c r="H13" s="1400"/>
      <c r="I13" s="1834">
        <f>D13</f>
        <v>80</v>
      </c>
      <c r="J13" s="1406" t="s">
        <v>1366</v>
      </c>
    </row>
    <row r="14" spans="1:11">
      <c r="A14" s="1399">
        <v>6</v>
      </c>
      <c r="B14" s="1400" t="s">
        <v>1349</v>
      </c>
      <c r="C14" s="1401" t="s">
        <v>7</v>
      </c>
      <c r="D14" s="1871">
        <v>2859.82</v>
      </c>
      <c r="E14" s="1400">
        <v>80</v>
      </c>
      <c r="F14" s="1400">
        <v>125.05</v>
      </c>
      <c r="G14" s="1400"/>
      <c r="H14" s="1400"/>
      <c r="I14" s="1871">
        <f>D14+F14+G14</f>
        <v>2984.8700000000003</v>
      </c>
      <c r="J14" s="1406" t="s">
        <v>1367</v>
      </c>
    </row>
    <row r="15" spans="1:11">
      <c r="A15" s="1399">
        <v>7</v>
      </c>
      <c r="B15" s="1400" t="s">
        <v>1368</v>
      </c>
      <c r="C15" s="1401" t="s">
        <v>7</v>
      </c>
      <c r="D15" s="1872">
        <v>27000</v>
      </c>
      <c r="E15" s="1400">
        <v>146</v>
      </c>
      <c r="F15" s="1400">
        <v>227.71</v>
      </c>
      <c r="G15" s="1400">
        <v>35</v>
      </c>
      <c r="H15" s="1400"/>
      <c r="I15" s="1871">
        <f t="shared" ref="I15:I17" si="0">D15+F15+G15</f>
        <v>27262.71</v>
      </c>
      <c r="J15" s="1406" t="s">
        <v>1374</v>
      </c>
    </row>
    <row r="16" spans="1:11">
      <c r="A16" s="1399">
        <v>8</v>
      </c>
      <c r="B16" s="1400" t="s">
        <v>131</v>
      </c>
      <c r="C16" s="1401" t="s">
        <v>7</v>
      </c>
      <c r="D16" s="1872">
        <v>27700</v>
      </c>
      <c r="E16" s="1400">
        <v>146</v>
      </c>
      <c r="F16" s="1400">
        <f>F15</f>
        <v>227.71</v>
      </c>
      <c r="G16" s="1400">
        <v>35</v>
      </c>
      <c r="H16" s="1400"/>
      <c r="I16" s="1871">
        <f t="shared" si="0"/>
        <v>27962.71</v>
      </c>
      <c r="J16" s="1406" t="s">
        <v>1374</v>
      </c>
    </row>
    <row r="17" spans="1:10">
      <c r="A17" s="1399">
        <v>9</v>
      </c>
      <c r="B17" s="1400" t="s">
        <v>133</v>
      </c>
      <c r="C17" s="1401" t="s">
        <v>7</v>
      </c>
      <c r="D17" s="1872">
        <v>27500</v>
      </c>
      <c r="E17" s="1400">
        <v>146</v>
      </c>
      <c r="F17" s="1400">
        <f t="shared" ref="F17:F18" si="1">F16</f>
        <v>227.71</v>
      </c>
      <c r="G17" s="1400">
        <v>35</v>
      </c>
      <c r="H17" s="1400"/>
      <c r="I17" s="1871">
        <f t="shared" si="0"/>
        <v>27762.71</v>
      </c>
      <c r="J17" s="1406" t="s">
        <v>1374</v>
      </c>
    </row>
    <row r="18" spans="1:10">
      <c r="A18" s="1399">
        <v>10</v>
      </c>
      <c r="B18" s="1400" t="s">
        <v>1359</v>
      </c>
      <c r="C18" s="1401" t="s">
        <v>7</v>
      </c>
      <c r="D18" s="1872">
        <v>27900</v>
      </c>
      <c r="E18" s="1400">
        <v>146</v>
      </c>
      <c r="F18" s="1400">
        <f t="shared" si="1"/>
        <v>227.71</v>
      </c>
      <c r="G18" s="1400">
        <v>35</v>
      </c>
      <c r="H18" s="1400"/>
      <c r="I18" s="1871">
        <f t="shared" ref="I18" si="2">D18+F18+G18</f>
        <v>28162.71</v>
      </c>
      <c r="J18" s="1406" t="s">
        <v>1374</v>
      </c>
    </row>
    <row r="19" spans="1:10">
      <c r="A19" s="1399">
        <v>11</v>
      </c>
      <c r="B19" s="1400" t="s">
        <v>57</v>
      </c>
      <c r="C19" s="1401" t="s">
        <v>3</v>
      </c>
      <c r="D19" s="1400">
        <v>185</v>
      </c>
      <c r="E19" s="1400">
        <v>193</v>
      </c>
      <c r="F19" s="1400">
        <v>421.17</v>
      </c>
      <c r="G19" s="1400"/>
      <c r="H19" s="1400"/>
      <c r="I19" s="1400">
        <f t="shared" ref="I19:I23" si="3">D19+F19</f>
        <v>606.17000000000007</v>
      </c>
      <c r="J19" s="1406" t="s">
        <v>1375</v>
      </c>
    </row>
    <row r="20" spans="1:10">
      <c r="A20" s="1399">
        <v>12</v>
      </c>
      <c r="B20" s="1400" t="s">
        <v>1369</v>
      </c>
      <c r="C20" s="1401" t="s">
        <v>3</v>
      </c>
      <c r="D20" s="1400">
        <v>315</v>
      </c>
      <c r="E20" s="1400">
        <v>193</v>
      </c>
      <c r="F20" s="1400">
        <f>F19</f>
        <v>421.17</v>
      </c>
      <c r="G20" s="1400"/>
      <c r="H20" s="1400"/>
      <c r="I20" s="1400">
        <f t="shared" si="3"/>
        <v>736.17000000000007</v>
      </c>
      <c r="J20" s="1406" t="s">
        <v>1375</v>
      </c>
    </row>
    <row r="21" spans="1:10">
      <c r="A21" s="1399">
        <v>13</v>
      </c>
      <c r="B21" s="1400" t="s">
        <v>1370</v>
      </c>
      <c r="C21" s="1401" t="s">
        <v>3</v>
      </c>
      <c r="D21" s="1400">
        <v>305</v>
      </c>
      <c r="E21" s="1400">
        <v>193</v>
      </c>
      <c r="F21" s="1400">
        <f t="shared" ref="F21:F25" si="4">F20</f>
        <v>421.17</v>
      </c>
      <c r="G21" s="1400"/>
      <c r="H21" s="1400"/>
      <c r="I21" s="1400">
        <f t="shared" si="3"/>
        <v>726.17000000000007</v>
      </c>
      <c r="J21" s="1406" t="s">
        <v>1375</v>
      </c>
    </row>
    <row r="22" spans="1:10">
      <c r="A22" s="1399">
        <v>14</v>
      </c>
      <c r="B22" s="1400" t="s">
        <v>1371</v>
      </c>
      <c r="C22" s="1401" t="s">
        <v>3</v>
      </c>
      <c r="D22" s="1400">
        <v>285</v>
      </c>
      <c r="E22" s="1400">
        <v>193</v>
      </c>
      <c r="F22" s="1400">
        <f t="shared" si="4"/>
        <v>421.17</v>
      </c>
      <c r="G22" s="1400"/>
      <c r="H22" s="1400"/>
      <c r="I22" s="1400">
        <f t="shared" si="3"/>
        <v>706.17000000000007</v>
      </c>
      <c r="J22" s="1406" t="s">
        <v>1375</v>
      </c>
    </row>
    <row r="23" spans="1:10">
      <c r="A23" s="1399">
        <v>15</v>
      </c>
      <c r="B23" s="1400" t="s">
        <v>1350</v>
      </c>
      <c r="C23" s="1401" t="s">
        <v>3</v>
      </c>
      <c r="D23" s="1400">
        <v>259.12</v>
      </c>
      <c r="E23" s="1400">
        <v>193</v>
      </c>
      <c r="F23" s="1400">
        <f t="shared" si="4"/>
        <v>421.17</v>
      </c>
      <c r="G23" s="1400"/>
      <c r="H23" s="1400"/>
      <c r="I23" s="1400">
        <f t="shared" si="3"/>
        <v>680.29</v>
      </c>
      <c r="J23" s="1406" t="s">
        <v>1375</v>
      </c>
    </row>
    <row r="24" spans="1:10">
      <c r="A24" s="1399">
        <v>16</v>
      </c>
      <c r="B24" s="1400" t="s">
        <v>1046</v>
      </c>
      <c r="C24" s="1401" t="s">
        <v>3</v>
      </c>
      <c r="D24" s="1400">
        <v>280.37</v>
      </c>
      <c r="E24" s="1400">
        <v>193</v>
      </c>
      <c r="F24" s="1400">
        <f t="shared" si="4"/>
        <v>421.17</v>
      </c>
      <c r="G24" s="1400"/>
      <c r="H24" s="1400"/>
      <c r="I24" s="1400">
        <f t="shared" ref="I24" si="5">D24+F24</f>
        <v>701.54</v>
      </c>
      <c r="J24" s="1406" t="s">
        <v>1375</v>
      </c>
    </row>
    <row r="25" spans="1:10">
      <c r="A25" s="1399">
        <v>17</v>
      </c>
      <c r="B25" s="1400" t="s">
        <v>812</v>
      </c>
      <c r="C25" s="1401" t="s">
        <v>3</v>
      </c>
      <c r="D25" s="1400">
        <v>205.61</v>
      </c>
      <c r="E25" s="1400">
        <v>193</v>
      </c>
      <c r="F25" s="1400">
        <f t="shared" si="4"/>
        <v>421.17</v>
      </c>
      <c r="G25" s="1400"/>
      <c r="H25" s="1400"/>
      <c r="I25" s="1400">
        <f t="shared" ref="I25:I26" si="6">D25+F25</f>
        <v>626.78</v>
      </c>
      <c r="J25" s="1406" t="s">
        <v>1375</v>
      </c>
    </row>
    <row r="26" spans="1:10">
      <c r="A26" s="1399">
        <v>18</v>
      </c>
      <c r="B26" s="1400" t="s">
        <v>1351</v>
      </c>
      <c r="C26" s="1401" t="s">
        <v>3</v>
      </c>
      <c r="D26" s="1400">
        <v>542.05999999999995</v>
      </c>
      <c r="E26" s="1400"/>
      <c r="F26" s="1400"/>
      <c r="G26" s="1400"/>
      <c r="H26" s="1400"/>
      <c r="I26" s="1400">
        <f t="shared" si="6"/>
        <v>542.05999999999995</v>
      </c>
      <c r="J26" s="1406" t="s">
        <v>1367</v>
      </c>
    </row>
    <row r="27" spans="1:10">
      <c r="A27" s="1399">
        <v>19</v>
      </c>
      <c r="B27" s="1400" t="s">
        <v>1352</v>
      </c>
      <c r="C27" s="1401" t="s">
        <v>3</v>
      </c>
      <c r="D27" s="1400"/>
      <c r="E27" s="1400"/>
      <c r="F27" s="1400"/>
      <c r="G27" s="1400"/>
      <c r="H27" s="1400"/>
      <c r="I27" s="1400"/>
      <c r="J27" s="1406"/>
    </row>
    <row r="28" spans="1:10">
      <c r="A28" s="1399">
        <v>20</v>
      </c>
      <c r="B28" s="1400" t="s">
        <v>1353</v>
      </c>
      <c r="C28" s="1401" t="s">
        <v>3</v>
      </c>
      <c r="D28" s="1400"/>
      <c r="E28" s="1400"/>
      <c r="F28" s="1400"/>
      <c r="G28" s="1400"/>
      <c r="H28" s="1400"/>
      <c r="I28" s="1400"/>
      <c r="J28" s="1398"/>
    </row>
    <row r="29" spans="1:10">
      <c r="A29" s="1399">
        <v>21</v>
      </c>
      <c r="B29" s="1400" t="s">
        <v>1354</v>
      </c>
      <c r="C29" s="1401" t="s">
        <v>3</v>
      </c>
      <c r="D29" s="1400"/>
      <c r="E29" s="1400"/>
      <c r="F29" s="1400"/>
      <c r="G29" s="1400"/>
      <c r="H29" s="1400"/>
      <c r="I29" s="1400"/>
      <c r="J29" s="1398"/>
    </row>
    <row r="30" spans="1:10">
      <c r="A30" s="1399">
        <v>22</v>
      </c>
      <c r="B30" s="1400" t="s">
        <v>1355</v>
      </c>
      <c r="C30" s="1401" t="s">
        <v>3</v>
      </c>
      <c r="D30" s="1400"/>
      <c r="E30" s="1400"/>
      <c r="F30" s="1400"/>
      <c r="G30" s="1400"/>
      <c r="H30" s="1400"/>
      <c r="I30" s="1400"/>
      <c r="J30" s="1398"/>
    </row>
    <row r="31" spans="1:10">
      <c r="A31" s="1399">
        <v>23</v>
      </c>
      <c r="B31" s="1400" t="s">
        <v>1356</v>
      </c>
      <c r="C31" s="1401" t="s">
        <v>3</v>
      </c>
      <c r="D31" s="1400"/>
      <c r="E31" s="1400"/>
      <c r="F31" s="1400"/>
      <c r="G31" s="1400"/>
      <c r="H31" s="1400"/>
      <c r="I31" s="1400"/>
      <c r="J31" s="1398"/>
    </row>
    <row r="32" spans="1:10">
      <c r="A32" s="1399">
        <v>24</v>
      </c>
      <c r="B32" s="1400" t="s">
        <v>1357</v>
      </c>
      <c r="C32" s="1401" t="s">
        <v>7</v>
      </c>
      <c r="D32" s="1400"/>
      <c r="E32" s="1400"/>
      <c r="F32" s="1400"/>
      <c r="G32" s="1400"/>
      <c r="H32" s="1400"/>
      <c r="I32" s="1400"/>
      <c r="J32" s="1398"/>
    </row>
    <row r="33" spans="1:10">
      <c r="A33" s="1399">
        <v>25</v>
      </c>
      <c r="B33" s="1400" t="s">
        <v>1358</v>
      </c>
      <c r="C33" s="1401" t="s">
        <v>7</v>
      </c>
      <c r="D33" s="1400"/>
      <c r="E33" s="1400"/>
      <c r="F33" s="1400"/>
      <c r="G33" s="1400"/>
      <c r="H33" s="1400"/>
      <c r="I33" s="1400"/>
      <c r="J33" s="1398"/>
    </row>
    <row r="34" spans="1:10" ht="22.5" thickBot="1">
      <c r="A34" s="1402"/>
      <c r="B34" s="1403"/>
      <c r="C34" s="1404"/>
      <c r="D34" s="1403"/>
      <c r="E34" s="1403"/>
      <c r="F34" s="1403"/>
      <c r="G34" s="1403"/>
      <c r="H34" s="1403"/>
      <c r="I34" s="1403"/>
      <c r="J34" s="1405"/>
    </row>
    <row r="35" spans="1:10">
      <c r="A35" s="1384" t="s">
        <v>1360</v>
      </c>
    </row>
    <row r="36" spans="1:10">
      <c r="B36" s="1384" t="s">
        <v>1361</v>
      </c>
    </row>
  </sheetData>
  <mergeCells count="3">
    <mergeCell ref="A7:A8"/>
    <mergeCell ref="B7:B8"/>
    <mergeCell ref="A1:J1"/>
  </mergeCells>
  <printOptions horizontalCentered="1"/>
  <pageMargins left="0.19685039370078741" right="0.19685039370078741" top="0.74803149606299213" bottom="0.35433070866141736" header="0.31496062992125984" footer="0.31496062992125984"/>
  <pageSetup paperSize="9" scale="9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8"/>
  <sheetViews>
    <sheetView zoomScaleNormal="100" workbookViewId="0">
      <selection activeCell="M10" sqref="M10"/>
    </sheetView>
  </sheetViews>
  <sheetFormatPr defaultColWidth="9" defaultRowHeight="19.899999999999999" customHeight="1"/>
  <cols>
    <col min="1" max="1" width="4.85546875" style="1363" customWidth="1"/>
    <col min="2" max="2" width="42.28515625" style="1363" customWidth="1"/>
    <col min="3" max="3" width="5.42578125" style="1363" customWidth="1"/>
    <col min="4" max="4" width="9" style="1363" customWidth="1"/>
    <col min="5" max="5" width="10.28515625" style="1363" customWidth="1"/>
    <col min="6" max="6" width="10.7109375" style="1363" customWidth="1"/>
    <col min="7" max="7" width="8.42578125" style="1363" customWidth="1"/>
    <col min="8" max="8" width="11.28515625" style="1363" customWidth="1"/>
    <col min="9" max="9" width="11.85546875" style="1363" customWidth="1"/>
    <col min="10" max="11" width="9" style="1363"/>
    <col min="12" max="12" width="10.85546875" style="1363" customWidth="1"/>
    <col min="13" max="16384" width="9" style="1363"/>
  </cols>
  <sheetData>
    <row r="1" spans="1:12" ht="19.899999999999999" customHeight="1">
      <c r="A1" s="2131" t="s">
        <v>1212</v>
      </c>
      <c r="B1" s="2131"/>
      <c r="C1" s="2131"/>
      <c r="D1" s="2131"/>
      <c r="E1" s="2131"/>
      <c r="F1" s="2131"/>
      <c r="G1" s="2131"/>
      <c r="H1" s="2131"/>
      <c r="I1" s="2133" t="s">
        <v>1213</v>
      </c>
    </row>
    <row r="2" spans="1:12" ht="19.899999999999999" customHeight="1">
      <c r="A2" s="2134" t="s">
        <v>1456</v>
      </c>
      <c r="B2" s="1350"/>
      <c r="C2" s="2132"/>
      <c r="D2" s="2132"/>
      <c r="E2" s="2132"/>
      <c r="F2" s="2132"/>
      <c r="G2" s="2132"/>
      <c r="H2" s="2132"/>
      <c r="I2" s="1351"/>
    </row>
    <row r="3" spans="1:12" ht="19.899999999999999" customHeight="1">
      <c r="A3" s="2134" t="s">
        <v>1407</v>
      </c>
      <c r="B3" s="1350"/>
      <c r="C3" s="2132"/>
      <c r="D3" s="2132"/>
      <c r="E3" s="2132"/>
      <c r="F3" s="2132"/>
      <c r="G3" s="2132"/>
      <c r="H3" s="2132"/>
      <c r="I3" s="1351"/>
    </row>
    <row r="4" spans="1:12" ht="19.899999999999999" customHeight="1">
      <c r="A4" s="2134" t="s">
        <v>1406</v>
      </c>
      <c r="B4" s="1350"/>
      <c r="C4" s="2132"/>
      <c r="D4" s="2132"/>
      <c r="E4" s="2132"/>
      <c r="F4" s="2132"/>
      <c r="G4" s="2132"/>
      <c r="H4" s="2132"/>
      <c r="I4" s="1351"/>
    </row>
    <row r="5" spans="1:12" ht="19.899999999999999" customHeight="1">
      <c r="A5" s="2134" t="s">
        <v>1457</v>
      </c>
      <c r="B5" s="1350"/>
      <c r="C5" s="2132"/>
      <c r="D5" s="2132"/>
      <c r="E5" s="2132"/>
      <c r="F5" s="2132"/>
      <c r="G5" s="2132"/>
      <c r="H5" s="2132"/>
      <c r="I5" s="1351"/>
    </row>
    <row r="6" spans="1:12" ht="19.899999999999999" customHeight="1" thickBot="1">
      <c r="A6" s="2134" t="s">
        <v>1458</v>
      </c>
      <c r="C6" s="2187" t="s">
        <v>1460</v>
      </c>
      <c r="D6" s="1352"/>
      <c r="E6" s="1364"/>
      <c r="F6" s="2135" t="s">
        <v>1452</v>
      </c>
      <c r="G6" s="2135"/>
      <c r="H6" s="2135"/>
      <c r="I6" s="2135"/>
    </row>
    <row r="7" spans="1:12" ht="38.450000000000003" customHeight="1" thickBot="1">
      <c r="A7" s="2136" t="s">
        <v>1214</v>
      </c>
      <c r="B7" s="2137" t="s">
        <v>1</v>
      </c>
      <c r="C7" s="2137" t="s">
        <v>18</v>
      </c>
      <c r="D7" s="2137" t="s">
        <v>1184</v>
      </c>
      <c r="E7" s="2138" t="s">
        <v>279</v>
      </c>
      <c r="F7" s="2137" t="s">
        <v>1215</v>
      </c>
      <c r="G7" s="2137" t="s">
        <v>2</v>
      </c>
      <c r="H7" s="2138" t="s">
        <v>1216</v>
      </c>
      <c r="I7" s="2139" t="s">
        <v>1217</v>
      </c>
    </row>
    <row r="8" spans="1:12" ht="19.899999999999999" customHeight="1">
      <c r="A8" s="2145">
        <v>1</v>
      </c>
      <c r="B8" s="2140" t="str">
        <f>'3.ปร.4 (2)'!B11</f>
        <v>งานปรับปรุงโครงสร้างทาง</v>
      </c>
      <c r="C8" s="1330"/>
      <c r="D8" s="1332"/>
      <c r="E8" s="1333"/>
      <c r="F8" s="1333"/>
      <c r="G8" s="1331"/>
      <c r="H8" s="1334"/>
      <c r="I8" s="1335"/>
    </row>
    <row r="9" spans="1:12" ht="19.899999999999999" customHeight="1">
      <c r="A9" s="2145"/>
      <c r="B9" s="2140" t="str">
        <f>'3.ปร.4 (2)'!B12</f>
        <v>1.1 งานถางป่าขุดตอ/งานป้ดพื้นทำความสะอาดผิวทางเดิม</v>
      </c>
      <c r="C9" s="2148" t="s">
        <v>26</v>
      </c>
      <c r="D9" s="2149">
        <f>'3.ปร.4 (2)'!D12</f>
        <v>1340</v>
      </c>
      <c r="E9" s="2150">
        <f>'3.ปร.4 (2)'!H12</f>
        <v>1.73</v>
      </c>
      <c r="F9" s="2150">
        <f>E9*D9</f>
        <v>2318.1999999999998</v>
      </c>
      <c r="G9" s="2151">
        <v>1.3642000000000001</v>
      </c>
      <c r="H9" s="2152">
        <f t="shared" ref="H9:H10" si="0">ROUNDDOWN(E9*G9,3)</f>
        <v>2.36</v>
      </c>
      <c r="I9" s="2153">
        <f t="shared" ref="I9:I10" si="1">F9*G9</f>
        <v>3162.4884400000001</v>
      </c>
    </row>
    <row r="10" spans="1:12" ht="19.899999999999999" customHeight="1">
      <c r="A10" s="2145"/>
      <c r="B10" s="2140" t="str">
        <f>'3.ปร.4 (2)'!B23</f>
        <v xml:space="preserve">1.12 Skin   Patch </v>
      </c>
      <c r="C10" s="2148" t="s">
        <v>26</v>
      </c>
      <c r="D10" s="2149">
        <f>'3.ปร.4 (2)'!D23</f>
        <v>150</v>
      </c>
      <c r="E10" s="2150">
        <f>'3.ปร.4 (2)'!H23</f>
        <v>182.29144920440632</v>
      </c>
      <c r="F10" s="2150">
        <f>E10*D10</f>
        <v>27343.717380660946</v>
      </c>
      <c r="G10" s="2151">
        <v>1.3642000000000001</v>
      </c>
      <c r="H10" s="2152">
        <f t="shared" si="0"/>
        <v>248.68100000000001</v>
      </c>
      <c r="I10" s="2153">
        <f t="shared" si="1"/>
        <v>37302.299250697666</v>
      </c>
    </row>
    <row r="11" spans="1:12" ht="19.899999999999999" customHeight="1">
      <c r="A11" s="2145">
        <v>2</v>
      </c>
      <c r="B11" s="2140" t="str">
        <f>'3.ปร.4 (2)'!B26:C26</f>
        <v>งานผิวทาง</v>
      </c>
      <c r="C11" s="2148"/>
      <c r="D11" s="2154"/>
      <c r="E11" s="2155"/>
      <c r="F11" s="2155"/>
      <c r="G11" s="2151"/>
      <c r="H11" s="2156"/>
      <c r="I11" s="2153">
        <f t="shared" ref="I11" si="2">F11*G11</f>
        <v>0</v>
      </c>
    </row>
    <row r="12" spans="1:12" ht="19.899999999999999" customHeight="1">
      <c r="A12" s="2146"/>
      <c r="B12" s="2141" t="str">
        <f>'3.ปร.4 (2)'!B28</f>
        <v>2.2 Tack  Coat (Css2)</v>
      </c>
      <c r="C12" s="2157" t="str">
        <f>'3.ปร.4 (2)'!E28</f>
        <v>ตร.ม.</v>
      </c>
      <c r="D12" s="2149">
        <f>'3.ปร.4 (2)'!D28</f>
        <v>1340</v>
      </c>
      <c r="E12" s="2150">
        <f>'3.ปร.4 (2)'!H28</f>
        <v>15.3</v>
      </c>
      <c r="F12" s="2150">
        <f>E12*D12</f>
        <v>20502</v>
      </c>
      <c r="G12" s="2158">
        <v>1.3642000000000001</v>
      </c>
      <c r="H12" s="2152">
        <f t="shared" ref="H12:H19" si="3">ROUNDDOWN(E12*G12,3)</f>
        <v>20.872</v>
      </c>
      <c r="I12" s="2153">
        <f>F12*G12</f>
        <v>27968.828400000002</v>
      </c>
      <c r="L12" s="1365"/>
    </row>
    <row r="13" spans="1:12" ht="19.899999999999999" customHeight="1">
      <c r="A13" s="2146"/>
      <c r="B13" s="2141" t="str">
        <f>'3.ปร.4 (2)'!B29</f>
        <v>2.3 Asphaltic  Concrete</v>
      </c>
      <c r="C13" s="2159"/>
      <c r="D13" s="2159"/>
      <c r="E13" s="2159"/>
      <c r="F13" s="2150">
        <f t="shared" ref="F13:F19" si="4">E13*D13</f>
        <v>0</v>
      </c>
      <c r="G13" s="2159"/>
      <c r="H13" s="2159"/>
      <c r="I13" s="2160"/>
      <c r="L13" s="1365"/>
    </row>
    <row r="14" spans="1:12" ht="19.899999999999999" customHeight="1">
      <c r="A14" s="2147"/>
      <c r="B14" s="2141" t="str">
        <f>'3.ปร.4 (2)'!B31</f>
        <v xml:space="preserve"> -  Asphaltic Concrete หนา 5 ซม. (ปูบน Tack Coat)</v>
      </c>
      <c r="C14" s="2161" t="str">
        <f>'3.ปร.4 (2)'!E31</f>
        <v>ตร.ม.</v>
      </c>
      <c r="D14" s="2162">
        <f>'3.ปร.4 (2)'!D31</f>
        <v>1340</v>
      </c>
      <c r="E14" s="2150">
        <f>'3.ปร.4 (2)'!H31</f>
        <v>283.81</v>
      </c>
      <c r="F14" s="2150">
        <f t="shared" si="4"/>
        <v>380305.4</v>
      </c>
      <c r="G14" s="2158">
        <f>G12</f>
        <v>1.3642000000000001</v>
      </c>
      <c r="H14" s="2152">
        <f>ROUNDDOWN(E14*G14,3)</f>
        <v>387.173</v>
      </c>
      <c r="I14" s="2153">
        <f>F14*G14</f>
        <v>518812.62668000004</v>
      </c>
      <c r="L14" s="1365"/>
    </row>
    <row r="15" spans="1:12" ht="19.899999999999999" customHeight="1">
      <c r="A15" s="2146">
        <v>3</v>
      </c>
      <c r="B15" s="2142" t="str">
        <f>'3.ปร.4 (2)'!B36</f>
        <v>งานผิวไหล่ทาง</v>
      </c>
      <c r="C15" s="2157"/>
      <c r="D15" s="2149"/>
      <c r="E15" s="2150"/>
      <c r="F15" s="2150">
        <f t="shared" si="4"/>
        <v>0</v>
      </c>
      <c r="G15" s="2158"/>
      <c r="H15" s="2152">
        <f t="shared" si="3"/>
        <v>0</v>
      </c>
      <c r="I15" s="2153">
        <f t="shared" ref="I15:I18" si="5">F15*G15</f>
        <v>0</v>
      </c>
      <c r="L15" s="1365"/>
    </row>
    <row r="16" spans="1:12" ht="19.899999999999999" customHeight="1">
      <c r="A16" s="2146">
        <v>4</v>
      </c>
      <c r="B16" s="2142" t="s">
        <v>33</v>
      </c>
      <c r="C16" s="2157"/>
      <c r="D16" s="2149"/>
      <c r="E16" s="2150"/>
      <c r="F16" s="2150">
        <f t="shared" si="4"/>
        <v>0</v>
      </c>
      <c r="G16" s="2158"/>
      <c r="H16" s="2152">
        <f t="shared" si="3"/>
        <v>0</v>
      </c>
      <c r="I16" s="2153">
        <f t="shared" si="5"/>
        <v>0</v>
      </c>
      <c r="L16" s="1365"/>
    </row>
    <row r="17" spans="1:12" ht="19.899999999999999" customHeight="1">
      <c r="A17" s="2146"/>
      <c r="B17" s="2141" t="str">
        <f>'3.ปร.4 (2)'!B46</f>
        <v>4.1 สีเทอร์โมพลาสติก</v>
      </c>
      <c r="C17" s="2157" t="str">
        <f>'3.ปร.4 (2)'!E46</f>
        <v>ตร.ม.</v>
      </c>
      <c r="D17" s="2162">
        <f>'3.ปร.4 (2)'!D46</f>
        <v>63.72</v>
      </c>
      <c r="E17" s="2150">
        <f>'3.ปร.4 (2)'!H46</f>
        <v>280</v>
      </c>
      <c r="F17" s="2150">
        <f t="shared" si="4"/>
        <v>17841.599999999999</v>
      </c>
      <c r="G17" s="2158">
        <f>G12</f>
        <v>1.3642000000000001</v>
      </c>
      <c r="H17" s="2152">
        <f t="shared" si="3"/>
        <v>381.976</v>
      </c>
      <c r="I17" s="2153">
        <f t="shared" si="5"/>
        <v>24339.510719999998</v>
      </c>
      <c r="L17" s="1365"/>
    </row>
    <row r="18" spans="1:12" ht="19.899999999999999" customHeight="1">
      <c r="A18" s="2165">
        <v>5</v>
      </c>
      <c r="B18" s="2143" t="str">
        <f>'3.ปร.4 (2)'!B122:C122</f>
        <v>(ข) งานอื่นๆ</v>
      </c>
      <c r="C18" s="2157"/>
      <c r="D18" s="2163"/>
      <c r="E18" s="2149"/>
      <c r="F18" s="2150">
        <f t="shared" si="4"/>
        <v>0</v>
      </c>
      <c r="G18" s="2158"/>
      <c r="H18" s="2152">
        <f t="shared" si="3"/>
        <v>0</v>
      </c>
      <c r="I18" s="2153">
        <f t="shared" si="5"/>
        <v>0</v>
      </c>
      <c r="L18" s="1365"/>
    </row>
    <row r="19" spans="1:12" ht="19.899999999999999" customHeight="1">
      <c r="A19" s="1336"/>
      <c r="B19" s="2144" t="str">
        <f>'3.ปร.4 (2)'!B123</f>
        <v>1. งานติดตั้งป้ายโครงการ</v>
      </c>
      <c r="C19" s="2164" t="s">
        <v>1338</v>
      </c>
      <c r="D19" s="2163">
        <f>'3.ปร.4 (2)'!D126</f>
        <v>1</v>
      </c>
      <c r="E19" s="2162">
        <f>'3.ปร.4 (2)'!L136</f>
        <v>2449.54</v>
      </c>
      <c r="F19" s="2150">
        <f t="shared" si="4"/>
        <v>2449.54</v>
      </c>
      <c r="G19" s="2158">
        <v>1</v>
      </c>
      <c r="H19" s="2152">
        <f t="shared" si="3"/>
        <v>2449.54</v>
      </c>
      <c r="I19" s="2153">
        <f>D19*H19</f>
        <v>2449.54</v>
      </c>
      <c r="L19" s="1365"/>
    </row>
    <row r="20" spans="1:12" ht="19.899999999999999" customHeight="1" thickBot="1">
      <c r="A20" s="1337"/>
      <c r="B20" s="1338"/>
      <c r="C20" s="1339"/>
      <c r="D20" s="1340"/>
      <c r="E20" s="1340"/>
      <c r="F20" s="1341"/>
      <c r="G20" s="1342"/>
      <c r="H20" s="1341"/>
      <c r="I20" s="1343"/>
    </row>
    <row r="21" spans="1:12" ht="19.899999999999999" customHeight="1" thickBot="1">
      <c r="A21" s="1344"/>
      <c r="B21" s="2185" t="s">
        <v>23</v>
      </c>
      <c r="C21" s="1345"/>
      <c r="D21" s="1346"/>
      <c r="E21" s="1346"/>
      <c r="F21" s="2186">
        <f>SUM(F8:F20)</f>
        <v>450760.45738066093</v>
      </c>
      <c r="G21" s="1347"/>
      <c r="H21" s="1348"/>
      <c r="I21" s="1349"/>
    </row>
    <row r="22" spans="1:12" ht="19.899999999999999" customHeight="1" thickBot="1">
      <c r="A22" s="1353"/>
      <c r="B22" s="1354"/>
      <c r="C22" s="1355"/>
      <c r="D22" s="1356"/>
      <c r="E22" s="1356"/>
      <c r="F22" s="1357"/>
      <c r="G22" s="1354"/>
      <c r="H22" s="2182" t="s">
        <v>1218</v>
      </c>
      <c r="I22" s="2183">
        <f>SUM(I8:I20)</f>
        <v>614035.29349069775</v>
      </c>
    </row>
    <row r="23" spans="1:12" ht="19.899999999999999" customHeight="1" thickTop="1" thickBot="1">
      <c r="A23" s="1353"/>
      <c r="B23" s="1354"/>
      <c r="C23" s="1355"/>
      <c r="D23" s="1356"/>
      <c r="E23" s="1356"/>
      <c r="F23" s="1357"/>
      <c r="G23" s="1354"/>
      <c r="H23" s="2181" t="s">
        <v>1219</v>
      </c>
      <c r="I23" s="2184">
        <v>614000</v>
      </c>
    </row>
    <row r="24" spans="1:12" ht="8.25" customHeight="1" thickTop="1">
      <c r="A24" s="1353"/>
      <c r="B24" s="1354"/>
      <c r="C24" s="1355"/>
      <c r="D24" s="1356"/>
      <c r="E24" s="1356"/>
      <c r="F24" s="1357"/>
      <c r="G24" s="1354"/>
      <c r="H24" s="1358"/>
      <c r="I24" s="1359"/>
    </row>
    <row r="25" spans="1:12" ht="19.899999999999999" customHeight="1">
      <c r="A25" s="1354"/>
      <c r="B25" s="2166" t="s">
        <v>1451</v>
      </c>
      <c r="C25" s="2167"/>
      <c r="D25" s="2167"/>
      <c r="E25" s="2167"/>
      <c r="F25" s="2167"/>
      <c r="G25" s="2168" t="s">
        <v>10</v>
      </c>
      <c r="H25" s="2169">
        <f>I23</f>
        <v>614000</v>
      </c>
      <c r="I25" s="2167"/>
    </row>
    <row r="26" spans="1:12" ht="7.15" customHeight="1">
      <c r="A26" s="1360"/>
      <c r="B26" s="1384"/>
      <c r="C26" s="2170"/>
      <c r="D26" s="1384"/>
      <c r="E26" s="2170"/>
      <c r="F26" s="2170"/>
      <c r="G26" s="2171"/>
      <c r="H26" s="2172"/>
      <c r="I26" s="1384"/>
    </row>
    <row r="27" spans="1:12" ht="19.899999999999999" customHeight="1">
      <c r="A27" s="1360"/>
      <c r="B27" s="2173" t="s">
        <v>1220</v>
      </c>
      <c r="C27" s="2170"/>
      <c r="D27" s="1384"/>
      <c r="E27" s="2170"/>
      <c r="F27" s="2170"/>
      <c r="G27" s="2171" t="s">
        <v>10</v>
      </c>
      <c r="H27" s="2174">
        <v>1.3642000000000001</v>
      </c>
      <c r="I27" s="1384"/>
    </row>
    <row r="28" spans="1:12" ht="11.45" customHeight="1">
      <c r="A28" s="1360"/>
      <c r="B28" s="1384"/>
      <c r="C28" s="2170"/>
      <c r="D28" s="1384"/>
      <c r="E28" s="2170"/>
      <c r="F28" s="2170"/>
      <c r="G28" s="2170"/>
      <c r="H28" s="2170"/>
      <c r="I28" s="1384"/>
    </row>
    <row r="29" spans="1:12" ht="19.899999999999999" customHeight="1">
      <c r="A29" s="1361"/>
      <c r="B29" s="2175"/>
      <c r="C29" s="2176"/>
      <c r="D29" s="2176"/>
      <c r="E29" s="2134"/>
      <c r="F29" s="2177"/>
      <c r="G29" s="2177"/>
      <c r="H29" s="2177"/>
      <c r="I29" s="2177"/>
    </row>
    <row r="30" spans="1:12" ht="19.899999999999999" customHeight="1">
      <c r="A30" s="1362"/>
      <c r="B30" s="2178" t="s">
        <v>1221</v>
      </c>
      <c r="C30" s="2179" t="s">
        <v>1440</v>
      </c>
      <c r="D30" s="568"/>
      <c r="E30" s="1535" t="s">
        <v>1111</v>
      </c>
      <c r="F30" s="568" t="s">
        <v>298</v>
      </c>
      <c r="G30" s="568"/>
      <c r="H30" s="568"/>
      <c r="I30" s="568" t="s">
        <v>1441</v>
      </c>
    </row>
    <row r="31" spans="1:12" ht="19.899999999999999" customHeight="1">
      <c r="A31" s="1361"/>
      <c r="B31" s="2178" t="s">
        <v>1453</v>
      </c>
      <c r="C31" s="2134"/>
      <c r="D31" s="568"/>
      <c r="E31" s="2180"/>
      <c r="F31" s="2177" t="s">
        <v>1418</v>
      </c>
      <c r="G31" s="2177"/>
      <c r="H31" s="2177"/>
      <c r="I31" s="2179"/>
    </row>
    <row r="32" spans="1:12" ht="19.899999999999999" customHeight="1">
      <c r="A32" s="1361"/>
      <c r="B32" s="2178" t="s">
        <v>1208</v>
      </c>
      <c r="C32" s="2134"/>
      <c r="D32" s="568"/>
      <c r="E32" s="568"/>
      <c r="F32" s="2177" t="s">
        <v>1454</v>
      </c>
      <c r="G32" s="2177"/>
      <c r="H32" s="2177"/>
      <c r="I32" s="2179"/>
    </row>
    <row r="33" spans="1:9" ht="19.899999999999999" customHeight="1">
      <c r="A33" s="1361"/>
      <c r="B33" s="2179"/>
      <c r="C33" s="2179"/>
      <c r="D33" s="568"/>
      <c r="E33" s="2179"/>
      <c r="F33" s="2179"/>
      <c r="G33" s="2179"/>
      <c r="H33" s="2179"/>
      <c r="I33" s="2179"/>
    </row>
    <row r="34" spans="1:9" ht="19.899999999999999" customHeight="1">
      <c r="A34" s="1362"/>
      <c r="B34" s="2178" t="s">
        <v>1221</v>
      </c>
      <c r="C34" s="2179" t="s">
        <v>1441</v>
      </c>
      <c r="D34" s="568"/>
      <c r="E34" s="2134"/>
      <c r="F34" s="568"/>
      <c r="G34" s="568"/>
      <c r="H34" s="568"/>
      <c r="I34" s="568"/>
    </row>
    <row r="35" spans="1:9" ht="19.899999999999999" customHeight="1">
      <c r="A35" s="1361"/>
      <c r="B35" s="2178" t="s">
        <v>1455</v>
      </c>
      <c r="C35" s="2134"/>
      <c r="D35" s="568"/>
      <c r="E35" s="2134"/>
      <c r="F35" s="2177"/>
      <c r="G35" s="2177"/>
      <c r="H35" s="2177"/>
      <c r="I35" s="2177"/>
    </row>
    <row r="36" spans="1:9" ht="19.899999999999999" customHeight="1">
      <c r="A36" s="1361"/>
      <c r="B36" s="2178" t="s">
        <v>1444</v>
      </c>
      <c r="C36" s="2134"/>
      <c r="D36" s="568"/>
      <c r="E36" s="2134"/>
      <c r="F36" s="568"/>
      <c r="G36" s="568"/>
      <c r="H36" s="568"/>
      <c r="I36" s="568"/>
    </row>
    <row r="37" spans="1:9" ht="19.899999999999999" customHeight="1">
      <c r="B37" s="568"/>
      <c r="C37" s="568"/>
      <c r="D37" s="568"/>
      <c r="E37" s="568"/>
      <c r="F37" s="568"/>
      <c r="G37" s="568"/>
      <c r="H37" s="568"/>
      <c r="I37" s="568"/>
    </row>
    <row r="38" spans="1:9" ht="19.899999999999999" customHeight="1">
      <c r="B38" s="568"/>
      <c r="C38" s="568"/>
      <c r="D38" s="568"/>
      <c r="E38" s="568"/>
      <c r="F38" s="568"/>
      <c r="G38" s="568"/>
      <c r="H38" s="568"/>
      <c r="I38" s="568"/>
    </row>
  </sheetData>
  <mergeCells count="6">
    <mergeCell ref="F35:I35"/>
    <mergeCell ref="F6:I6"/>
    <mergeCell ref="F29:I29"/>
    <mergeCell ref="F31:H31"/>
    <mergeCell ref="F32:H32"/>
    <mergeCell ref="A1:H1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5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M540"/>
  <sheetViews>
    <sheetView topLeftCell="A163" workbookViewId="0">
      <selection activeCell="D195" sqref="D195"/>
    </sheetView>
  </sheetViews>
  <sheetFormatPr defaultColWidth="9.140625" defaultRowHeight="15.75" customHeight="1"/>
  <cols>
    <col min="1" max="1" width="3.28515625" style="678" customWidth="1"/>
    <col min="2" max="2" width="19.28515625" style="678" customWidth="1"/>
    <col min="3" max="3" width="18" style="678" customWidth="1"/>
    <col min="4" max="4" width="9.85546875" style="678" customWidth="1"/>
    <col min="5" max="5" width="11" style="686" customWidth="1"/>
    <col min="6" max="6" width="7.42578125" style="678" customWidth="1"/>
    <col min="7" max="7" width="5.7109375" style="686" customWidth="1"/>
    <col min="8" max="8" width="7.85546875" style="690" customWidth="1"/>
    <col min="9" max="9" width="9.42578125" style="686" customWidth="1"/>
    <col min="10" max="10" width="8.85546875" style="691" customWidth="1"/>
    <col min="11" max="11" width="12.42578125" style="678" customWidth="1"/>
    <col min="12" max="12" width="6.85546875" style="678" customWidth="1"/>
    <col min="13" max="13" width="10.7109375" style="679" hidden="1" customWidth="1"/>
    <col min="14" max="14" width="7" style="680" hidden="1" customWidth="1"/>
    <col min="15" max="15" width="9.28515625" style="680" hidden="1" customWidth="1"/>
    <col min="16" max="16" width="8.140625" style="678" hidden="1" customWidth="1"/>
    <col min="17" max="18" width="8" style="678" hidden="1" customWidth="1"/>
    <col min="19" max="19" width="10" style="678" hidden="1" customWidth="1"/>
    <col min="20" max="22" width="8" style="678" hidden="1" customWidth="1"/>
    <col min="23" max="26" width="8" style="678" customWidth="1"/>
    <col min="27" max="27" width="13.5703125" style="678" customWidth="1"/>
    <col min="28" max="35" width="8" style="678" customWidth="1"/>
    <col min="36" max="16384" width="9.140625" style="678"/>
  </cols>
  <sheetData>
    <row r="1" spans="1:22" ht="28.5" customHeight="1">
      <c r="A1" s="2101" t="s">
        <v>550</v>
      </c>
      <c r="B1" s="2101"/>
      <c r="C1" s="2101"/>
      <c r="D1" s="2101"/>
      <c r="E1" s="2101"/>
      <c r="F1" s="2101"/>
      <c r="G1" s="2101"/>
      <c r="H1" s="2101"/>
      <c r="I1" s="2101"/>
      <c r="J1" s="2101"/>
      <c r="K1" s="2101"/>
    </row>
    <row r="2" spans="1:22" ht="12.75" customHeight="1">
      <c r="A2" s="2102" t="str">
        <f>[3]โครงการ!B4</f>
        <v>สำนักทางหลวงชนบทที่16 (กาฬสินธุ์)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</row>
    <row r="3" spans="1:22" ht="12.75" customHeight="1">
      <c r="A3" s="2102" t="str">
        <f>[3]โครงการ!B5</f>
        <v>กรมทางหลวงชนบท  กระทรวงคมนาคม</v>
      </c>
      <c r="B3" s="2102"/>
      <c r="C3" s="2102"/>
      <c r="D3" s="2102"/>
      <c r="E3" s="2102"/>
      <c r="F3" s="2102"/>
      <c r="G3" s="2102"/>
      <c r="H3" s="2102"/>
      <c r="I3" s="2102"/>
      <c r="J3" s="2102"/>
      <c r="K3" s="2102"/>
      <c r="P3" s="681" t="s">
        <v>60</v>
      </c>
      <c r="Q3" s="682">
        <v>2</v>
      </c>
      <c r="R3" s="683" t="s">
        <v>139</v>
      </c>
      <c r="S3" s="684" t="s">
        <v>142</v>
      </c>
      <c r="T3" s="684"/>
      <c r="U3" s="458"/>
      <c r="V3" s="168"/>
    </row>
    <row r="4" spans="1:22" ht="12.75" customHeight="1">
      <c r="A4" s="685"/>
      <c r="B4" s="685"/>
      <c r="C4" s="685"/>
      <c r="D4" s="685"/>
      <c r="E4" s="686" t="s">
        <v>551</v>
      </c>
      <c r="F4" s="2103">
        <v>41472</v>
      </c>
      <c r="G4" s="2103"/>
      <c r="H4" s="2103"/>
      <c r="I4" s="685"/>
      <c r="J4" s="685"/>
      <c r="K4" s="685"/>
      <c r="P4" s="681"/>
      <c r="Q4" s="682"/>
      <c r="R4" s="683"/>
      <c r="S4" s="684"/>
      <c r="T4" s="684"/>
      <c r="U4" s="458"/>
      <c r="V4" s="168"/>
    </row>
    <row r="5" spans="1:22" ht="12.75" customHeight="1">
      <c r="A5" s="687" t="str">
        <f>[3]โครงการ!A6</f>
        <v>โครงการก่อสร้าง</v>
      </c>
      <c r="B5" s="688"/>
      <c r="C5" s="689" t="str">
        <f>[3]โครงการ!B9&amp;"  "&amp;[3]กรอกราคาวัสดุ!E2</f>
        <v xml:space="preserve">  สาย บ.ดอนม่วงพัฒนา  </v>
      </c>
      <c r="E5" s="678"/>
      <c r="P5" s="681" t="s">
        <v>62</v>
      </c>
      <c r="Q5" s="682">
        <v>2</v>
      </c>
      <c r="R5" s="683" t="s">
        <v>139</v>
      </c>
      <c r="S5" s="684" t="s">
        <v>156</v>
      </c>
      <c r="T5" s="684"/>
      <c r="U5" s="458"/>
      <c r="V5" s="168"/>
    </row>
    <row r="6" spans="1:22" ht="12.75" customHeight="1">
      <c r="A6" s="687"/>
      <c r="B6" s="688"/>
      <c r="C6" s="689" t="str">
        <f>"สถานที่ตั้ง "&amp;[3]โครงการ!A11&amp;[3]โครงการ!B11&amp;"  "&amp;[3]กรอกราคาวัสดุ!B3</f>
        <v>สถานที่ตั้ง ตำบลโพนทราย    อำเภอเมือง  จังหวัดมุกดาหาร</v>
      </c>
      <c r="P6" s="692" t="s">
        <v>64</v>
      </c>
      <c r="Q6" s="693">
        <v>1.0129999999999999</v>
      </c>
      <c r="R6" s="683" t="s">
        <v>139</v>
      </c>
      <c r="S6" s="459" t="s">
        <v>140</v>
      </c>
      <c r="T6" s="460"/>
      <c r="U6" s="694"/>
      <c r="V6" s="694"/>
    </row>
    <row r="7" spans="1:22" ht="12.75" customHeight="1">
      <c r="A7" s="695" t="s">
        <v>552</v>
      </c>
      <c r="B7" s="688"/>
      <c r="C7" s="696"/>
      <c r="P7" s="694"/>
      <c r="Q7" s="684"/>
      <c r="R7" s="683" t="s">
        <v>139</v>
      </c>
      <c r="S7" s="459" t="s">
        <v>141</v>
      </c>
      <c r="T7" s="694"/>
      <c r="U7" s="694"/>
      <c r="V7" s="684"/>
    </row>
    <row r="8" spans="1:22" ht="12.75" customHeight="1">
      <c r="A8" s="678">
        <f>[3]กรอกราคาวัสดุ!A9</f>
        <v>1</v>
      </c>
      <c r="B8" s="678" t="str">
        <f>[3]กรอกราคาวัสดุ!B9</f>
        <v>ในสายทาง</v>
      </c>
      <c r="C8" s="678" t="str">
        <f>[3]กรอกราคาวัสดุ!C9</f>
        <v>ดินตัด</v>
      </c>
      <c r="D8" s="690">
        <f>[3]กรอกราคาวัสดุ!D9</f>
        <v>0</v>
      </c>
      <c r="E8" s="697" t="str">
        <f>[3]กรอกราคาวัสดุ!E9</f>
        <v>บาท/ลบ.ม. ขนส่ง</v>
      </c>
      <c r="F8" s="686">
        <f>[3]กรอกราคาวัสดุ!G9</f>
        <v>1</v>
      </c>
      <c r="G8" s="690" t="str">
        <f>[3]กรอกราคาวัสดุ!H9</f>
        <v xml:space="preserve">กม.     </v>
      </c>
      <c r="H8" s="678" t="str">
        <f>[3]กรอกราคาวัสดุ!I9</f>
        <v>=</v>
      </c>
      <c r="I8" s="698">
        <f>[3]กรอกราคาวัสดุ!J9</f>
        <v>8.93</v>
      </c>
      <c r="J8" s="699" t="str">
        <f>[3]กรอกราคาวัสดุ!K9</f>
        <v>บาท/ลบ.ม.</v>
      </c>
      <c r="K8" s="699" t="str">
        <f>[3]กรอกราคาวัสดุ!L9</f>
        <v>รถสิบล้อ</v>
      </c>
    </row>
    <row r="9" spans="1:22" ht="12.75" customHeight="1">
      <c r="A9" s="678">
        <f>[3]กรอกราคาวัสดุ!A10</f>
        <v>2</v>
      </c>
      <c r="B9" s="678" t="str">
        <f>[3]กรอกราคาวัสดุ!B10</f>
        <v>ในสายทาง</v>
      </c>
      <c r="C9" s="678" t="str">
        <f>[3]กรอกราคาวัสดุ!C10</f>
        <v>ดินถม</v>
      </c>
      <c r="D9" s="690">
        <f>[3]กรอกราคาวัสดุ!D10</f>
        <v>5</v>
      </c>
      <c r="E9" s="697" t="str">
        <f>[3]กรอกราคาวัสดุ!E10</f>
        <v>บาท/ลบ.ม. ขนส่ง</v>
      </c>
      <c r="F9" s="686">
        <f>[3]กรอกราคาวัสดุ!G10</f>
        <v>1</v>
      </c>
      <c r="G9" s="690" t="str">
        <f>[3]กรอกราคาวัสดุ!H10</f>
        <v xml:space="preserve">กม.     </v>
      </c>
      <c r="H9" s="678" t="str">
        <f>[3]กรอกราคาวัสดุ!I10</f>
        <v>=</v>
      </c>
      <c r="I9" s="698">
        <f>[3]กรอกราคาวัสดุ!J10</f>
        <v>8.93</v>
      </c>
      <c r="J9" s="699" t="str">
        <f>[3]กรอกราคาวัสดุ!K10</f>
        <v>บาท/ลบ.ม.</v>
      </c>
      <c r="K9" s="699" t="str">
        <f>[3]กรอกราคาวัสดุ!L10</f>
        <v>รถสิบล้อ</v>
      </c>
    </row>
    <row r="10" spans="1:22" ht="12.75" customHeight="1">
      <c r="A10" s="678">
        <f>[3]กรอกราคาวัสดุ!A11</f>
        <v>3</v>
      </c>
      <c r="B10" s="678" t="str">
        <f>[3]กรอกราคาวัสดุ!B11</f>
        <v>ในสายทาง</v>
      </c>
      <c r="C10" s="678" t="str">
        <f>[3]กรอกราคาวัสดุ!C11</f>
        <v>วัสดุคัดเลือก</v>
      </c>
      <c r="D10" s="690">
        <f>[3]กรอกราคาวัสดุ!D11</f>
        <v>10</v>
      </c>
      <c r="E10" s="697" t="str">
        <f>[3]กรอกราคาวัสดุ!E11</f>
        <v>บาท/ลบ.ม. ขนส่ง</v>
      </c>
      <c r="F10" s="686">
        <f>[3]กรอกราคาวัสดุ!G11</f>
        <v>1</v>
      </c>
      <c r="G10" s="690" t="str">
        <f>[3]กรอกราคาวัสดุ!H11</f>
        <v xml:space="preserve">กม.     </v>
      </c>
      <c r="H10" s="678" t="str">
        <f>[3]กรอกราคาวัสดุ!I11</f>
        <v>=</v>
      </c>
      <c r="I10" s="698">
        <f>[3]กรอกราคาวัสดุ!J11</f>
        <v>8.93</v>
      </c>
      <c r="J10" s="699" t="str">
        <f>[3]กรอกราคาวัสดุ!K11</f>
        <v>บาท/ลบ.ม.</v>
      </c>
      <c r="K10" s="699" t="str">
        <f>[3]กรอกราคาวัสดุ!L11</f>
        <v>รถสิบล้อ</v>
      </c>
    </row>
    <row r="11" spans="1:22" ht="12.75" customHeight="1">
      <c r="A11" s="678">
        <f>[3]กรอกราคาวัสดุ!A12</f>
        <v>4</v>
      </c>
      <c r="B11" s="678" t="str">
        <f>[3]กรอกราคาวัสดุ!B12</f>
        <v>ในสายทาง</v>
      </c>
      <c r="C11" s="678" t="str">
        <f>[3]กรอกราคาวัสดุ!C12</f>
        <v>ลูกรัง</v>
      </c>
      <c r="D11" s="690">
        <f>[3]กรอกราคาวัสดุ!D12</f>
        <v>15</v>
      </c>
      <c r="E11" s="697" t="str">
        <f>[3]กรอกราคาวัสดุ!E12</f>
        <v>บาท/ลบ.ม. ขนส่ง</v>
      </c>
      <c r="F11" s="686">
        <f>[3]กรอกราคาวัสดุ!G12</f>
        <v>1</v>
      </c>
      <c r="G11" s="690" t="str">
        <f>[3]กรอกราคาวัสดุ!H12</f>
        <v xml:space="preserve">กม.     </v>
      </c>
      <c r="H11" s="678" t="str">
        <f>[3]กรอกราคาวัสดุ!I12</f>
        <v>=</v>
      </c>
      <c r="I11" s="698">
        <f>[3]กรอกราคาวัสดุ!J12</f>
        <v>8.93</v>
      </c>
      <c r="J11" s="699" t="str">
        <f>[3]กรอกราคาวัสดุ!K12</f>
        <v>บาท/ลบ.ม.</v>
      </c>
      <c r="K11" s="699" t="str">
        <f>[3]กรอกราคาวัสดุ!L12</f>
        <v>รถสิบล้อ</v>
      </c>
    </row>
    <row r="12" spans="1:22" ht="12.75" customHeight="1">
      <c r="A12" s="678">
        <f>[3]กรอกราคาวัสดุ!A13</f>
        <v>5</v>
      </c>
      <c r="B12" s="700" t="str">
        <f>[3]กรอกราคาวัสดุ!B13</f>
        <v>อำเภอเมือง จังหวัดสุรินทร์</v>
      </c>
      <c r="C12" s="678" t="str">
        <f>[3]กรอกราคาวัสดุ!C13</f>
        <v>หินคลุก</v>
      </c>
      <c r="D12" s="690">
        <f>[3]กรอกราคาวัสดุ!D13</f>
        <v>250</v>
      </c>
      <c r="E12" s="697" t="str">
        <f>[3]กรอกราคาวัสดุ!E13</f>
        <v>บาท/ลบ.ม. ขนส่ง</v>
      </c>
      <c r="F12" s="686">
        <f>[3]กรอกราคาวัสดุ!G13</f>
        <v>207</v>
      </c>
      <c r="G12" s="690" t="str">
        <f>[3]กรอกราคาวัสดุ!H13</f>
        <v xml:space="preserve">กม.     </v>
      </c>
      <c r="H12" s="678" t="str">
        <f>[3]กรอกราคาวัสดุ!I13</f>
        <v>=</v>
      </c>
      <c r="I12" s="698">
        <f>[3]กรอกราคาวัสดุ!J13</f>
        <v>378.15</v>
      </c>
      <c r="J12" s="699" t="str">
        <f>[3]กรอกราคาวัสดุ!K13</f>
        <v>บาท/ลบ.ม.</v>
      </c>
      <c r="K12" s="699" t="str">
        <f>[3]กรอกราคาวัสดุ!L13</f>
        <v>รถสิบล้อลากพ่วง</v>
      </c>
    </row>
    <row r="13" spans="1:22" ht="12.75" customHeight="1">
      <c r="A13" s="678">
        <f>[3]กรอกราคาวัสดุ!A14</f>
        <v>6</v>
      </c>
      <c r="B13" s="700" t="str">
        <f>[3]กรอกราคาวัสดุ!B14</f>
        <v>อำเภอเมือง จังหวัดสุรินทร์</v>
      </c>
      <c r="C13" s="678" t="str">
        <f>[3]กรอกราคาวัสดุ!C14</f>
        <v>หินฝุ่น</v>
      </c>
      <c r="D13" s="690">
        <f>[3]กรอกราคาวัสดุ!D14</f>
        <v>190</v>
      </c>
      <c r="E13" s="697" t="str">
        <f>[3]กรอกราคาวัสดุ!E14</f>
        <v>บาท/ลบ.ม. ขนส่ง</v>
      </c>
      <c r="F13" s="686">
        <f>[3]กรอกราคาวัสดุ!G14</f>
        <v>207</v>
      </c>
      <c r="G13" s="690" t="str">
        <f>[3]กรอกราคาวัสดุ!H14</f>
        <v xml:space="preserve">กม.     </v>
      </c>
      <c r="H13" s="678" t="str">
        <f>[3]กรอกราคาวัสดุ!I14</f>
        <v>=</v>
      </c>
      <c r="I13" s="698">
        <f>[3]กรอกราคาวัสดุ!J14</f>
        <v>378.15</v>
      </c>
      <c r="J13" s="699" t="str">
        <f>[3]กรอกราคาวัสดุ!K14</f>
        <v>บาท/ลบ.ม.</v>
      </c>
      <c r="K13" s="699" t="str">
        <f>[3]กรอกราคาวัสดุ!L14</f>
        <v>รถสิบล้อลากพ่วง</v>
      </c>
    </row>
    <row r="14" spans="1:22" ht="12.75" customHeight="1">
      <c r="A14" s="678">
        <f>[3]กรอกราคาวัสดุ!A15</f>
        <v>7</v>
      </c>
      <c r="B14" s="700" t="str">
        <f>[3]กรอกราคาวัสดุ!B15</f>
        <v>อำเภอเมือง จังหวัดสุรินทร์</v>
      </c>
      <c r="C14" s="678" t="str">
        <f>[3]กรอกราคาวัสดุ!C15</f>
        <v>หิน  3/4"</v>
      </c>
      <c r="D14" s="690">
        <f>[3]กรอกราคาวัสดุ!D15</f>
        <v>410</v>
      </c>
      <c r="E14" s="697" t="str">
        <f>[3]กรอกราคาวัสดุ!E15</f>
        <v>บาท/ลบ.ม. ขนส่ง</v>
      </c>
      <c r="F14" s="686">
        <f>[3]กรอกราคาวัสดุ!G15</f>
        <v>207</v>
      </c>
      <c r="G14" s="690" t="str">
        <f>[3]กรอกราคาวัสดุ!H15</f>
        <v xml:space="preserve">กม.     </v>
      </c>
      <c r="H14" s="678" t="str">
        <f>[3]กรอกราคาวัสดุ!I15</f>
        <v>=</v>
      </c>
      <c r="I14" s="698">
        <f>[3]กรอกราคาวัสดุ!J15</f>
        <v>378.15</v>
      </c>
      <c r="J14" s="699" t="str">
        <f>[3]กรอกราคาวัสดุ!K15</f>
        <v>บาท/ลบ.ม.</v>
      </c>
      <c r="K14" s="699" t="str">
        <f>[3]กรอกราคาวัสดุ!L15</f>
        <v>รถสิบล้อลากพ่วง</v>
      </c>
    </row>
    <row r="15" spans="1:22" ht="12.75" customHeight="1">
      <c r="A15" s="678">
        <f>[3]กรอกราคาวัสดุ!A16</f>
        <v>8</v>
      </c>
      <c r="B15" s="700" t="str">
        <f>[3]กรอกราคาวัสดุ!B16</f>
        <v>อำเภอเมือง จังหวัดสุรินทร์</v>
      </c>
      <c r="C15" s="678" t="str">
        <f>[3]กรอกราคาวัสดุ!C16</f>
        <v xml:space="preserve">หิน  1/2" </v>
      </c>
      <c r="D15" s="690">
        <f>[3]กรอกราคาวัสดุ!D16</f>
        <v>530</v>
      </c>
      <c r="E15" s="697" t="str">
        <f>[3]กรอกราคาวัสดุ!E16</f>
        <v>บาท/ลบ.ม. ขนส่ง</v>
      </c>
      <c r="F15" s="686">
        <f>[3]กรอกราคาวัสดุ!G16</f>
        <v>207</v>
      </c>
      <c r="G15" s="690" t="str">
        <f>[3]กรอกราคาวัสดุ!H16</f>
        <v xml:space="preserve">กม.     </v>
      </c>
      <c r="H15" s="678" t="str">
        <f>[3]กรอกราคาวัสดุ!I16</f>
        <v>=</v>
      </c>
      <c r="I15" s="698">
        <f>[3]กรอกราคาวัสดุ!J16</f>
        <v>378.15</v>
      </c>
      <c r="J15" s="699" t="str">
        <f>[3]กรอกราคาวัสดุ!K16</f>
        <v>บาท/ลบ.ม.</v>
      </c>
      <c r="K15" s="699" t="str">
        <f>[3]กรอกราคาวัสดุ!L16</f>
        <v>รถสิบล้อลากพ่วง</v>
      </c>
    </row>
    <row r="16" spans="1:22" ht="12.75" customHeight="1">
      <c r="A16" s="678">
        <f>[3]กรอกราคาวัสดุ!A17</f>
        <v>9</v>
      </c>
      <c r="B16" s="700" t="str">
        <f>[3]กรอกราคาวัสดุ!B17</f>
        <v>อำเภอเมือง จังหวัดสุรินทร์</v>
      </c>
      <c r="C16" s="678" t="str">
        <f>[3]กรอกราคาวัสดุ!C17</f>
        <v xml:space="preserve">หิน  3/8" </v>
      </c>
      <c r="D16" s="690">
        <f>[3]กรอกราคาวัสดุ!D17</f>
        <v>410</v>
      </c>
      <c r="E16" s="697" t="str">
        <f>[3]กรอกราคาวัสดุ!E17</f>
        <v>บาท/ลบ.ม. ขนส่ง</v>
      </c>
      <c r="F16" s="686">
        <f>[3]กรอกราคาวัสดุ!G17</f>
        <v>207</v>
      </c>
      <c r="G16" s="690" t="str">
        <f>[3]กรอกราคาวัสดุ!H17</f>
        <v xml:space="preserve">กม.     </v>
      </c>
      <c r="H16" s="678" t="str">
        <f>[3]กรอกราคาวัสดุ!I17</f>
        <v>=</v>
      </c>
      <c r="I16" s="698">
        <f>[3]กรอกราคาวัสดุ!J17</f>
        <v>378.15</v>
      </c>
      <c r="J16" s="699" t="str">
        <f>[3]กรอกราคาวัสดุ!K17</f>
        <v>บาท/ลบ.ม.</v>
      </c>
      <c r="K16" s="699" t="str">
        <f>[3]กรอกราคาวัสดุ!L17</f>
        <v>รถสิบล้อลากพ่วง</v>
      </c>
    </row>
    <row r="17" spans="1:15" ht="12.75" customHeight="1">
      <c r="A17" s="678">
        <f>[3]กรอกราคาวัสดุ!A18</f>
        <v>10</v>
      </c>
      <c r="B17" s="700" t="str">
        <f>[3]กรอกราคาวัสดุ!B18</f>
        <v>อำเภอเมือง จังหวัดสุรินทร์</v>
      </c>
      <c r="C17" s="678" t="str">
        <f>[3]กรอกราคาวัสดุ!C18</f>
        <v>หินผสมคอนกรีต</v>
      </c>
      <c r="D17" s="690">
        <f>[3]กรอกราคาวัสดุ!D18</f>
        <v>600</v>
      </c>
      <c r="E17" s="697" t="str">
        <f>[3]กรอกราคาวัสดุ!E18</f>
        <v>บาท/ลบ.ม. ขนส่ง</v>
      </c>
      <c r="F17" s="686">
        <f>[3]กรอกราคาวัสดุ!G18</f>
        <v>20</v>
      </c>
      <c r="G17" s="690" t="str">
        <f>[3]กรอกราคาวัสดุ!H18</f>
        <v xml:space="preserve">กม.     </v>
      </c>
      <c r="H17" s="678" t="str">
        <f>[3]กรอกราคาวัสดุ!I18</f>
        <v>=</v>
      </c>
      <c r="I17" s="698">
        <f>[3]กรอกราคาวัสดุ!J18</f>
        <v>37.020000000000003</v>
      </c>
      <c r="J17" s="699" t="str">
        <f>[3]กรอกราคาวัสดุ!K18</f>
        <v>บาท/ลบ.ม.</v>
      </c>
      <c r="K17" s="699" t="str">
        <f>[3]กรอกราคาวัสดุ!L18</f>
        <v>รถสิบล้อลากพ่วง</v>
      </c>
    </row>
    <row r="18" spans="1:15" ht="12.75" customHeight="1">
      <c r="A18" s="678">
        <f>[3]กรอกราคาวัสดุ!A19</f>
        <v>11</v>
      </c>
      <c r="B18" s="700" t="str">
        <f>[3]กรอกราคาวัสดุ!B19</f>
        <v>อำเภอเมือง จังหวัดสุรินทร์</v>
      </c>
      <c r="C18" s="701" t="str">
        <f>[3]กรอกราคาวัสดุ!C19</f>
        <v>หินผสม AC (48%,15%,27%,10%)</v>
      </c>
      <c r="D18" s="690">
        <f>[3]กรอกราคาวัสดุ!D19</f>
        <v>336.8</v>
      </c>
      <c r="E18" s="697" t="str">
        <f>[3]กรอกราคาวัสดุ!E19</f>
        <v>บาท/ลบ.ม. ขนส่ง</v>
      </c>
      <c r="F18" s="686">
        <f>[3]กรอกราคาวัสดุ!G19</f>
        <v>207</v>
      </c>
      <c r="G18" s="690" t="str">
        <f>[3]กรอกราคาวัสดุ!H19</f>
        <v xml:space="preserve">กม.     </v>
      </c>
      <c r="H18" s="678" t="str">
        <f>[3]กรอกราคาวัสดุ!I19</f>
        <v>=</v>
      </c>
      <c r="I18" s="698">
        <f>[3]กรอกราคาวัสดุ!J19</f>
        <v>378.15</v>
      </c>
      <c r="J18" s="699" t="str">
        <f>[3]กรอกราคาวัสดุ!K19</f>
        <v>บาท/ลบ.ม.</v>
      </c>
      <c r="K18" s="699" t="str">
        <f>[3]กรอกราคาวัสดุ!L19</f>
        <v>รถสิบล้อลากพ่วง</v>
      </c>
    </row>
    <row r="19" spans="1:15" ht="12.75" customHeight="1">
      <c r="A19" s="702" t="s">
        <v>553</v>
      </c>
      <c r="B19" s="703"/>
      <c r="D19" s="704"/>
      <c r="E19" s="705" t="s">
        <v>554</v>
      </c>
      <c r="F19" s="706">
        <f>[3]S2!C2</f>
        <v>30.5</v>
      </c>
      <c r="G19" s="707" t="s">
        <v>56</v>
      </c>
      <c r="H19" s="708"/>
      <c r="I19" s="709"/>
      <c r="J19" s="710"/>
      <c r="K19" s="711"/>
      <c r="L19" s="712"/>
      <c r="M19" s="713"/>
      <c r="N19" s="713"/>
      <c r="O19" s="714"/>
    </row>
    <row r="20" spans="1:15" ht="12.75" customHeight="1">
      <c r="A20" s="715">
        <v>12</v>
      </c>
      <c r="B20" s="716" t="s">
        <v>555</v>
      </c>
      <c r="C20" s="717" t="s">
        <v>556</v>
      </c>
      <c r="D20" s="718">
        <v>25570</v>
      </c>
      <c r="E20" s="719" t="s">
        <v>557</v>
      </c>
      <c r="F20" s="720">
        <f>652-80</f>
        <v>572</v>
      </c>
      <c r="G20" s="2100" t="s">
        <v>558</v>
      </c>
      <c r="H20" s="2100"/>
      <c r="I20" s="721">
        <f>IF(Q$5=1,IF(F20&lt;=200,VLOOKUP(F20,[3]S2!B$5:'[3]S2'!F$204,2),IF(F20&gt;200,(F20-200)*[3]S2!C$205+[3]S2!C$204)),IF(Q$5=2,IF(F20&lt;=200,VLOOKUP(F20,[3]S2!B$5:'[3]S2'!F$204,4),IF(F20&gt;200,(F20-200)*[3]S2!E$205+[3]S2!E$204))))</f>
        <v>744.61</v>
      </c>
      <c r="J20" s="722" t="s">
        <v>559</v>
      </c>
      <c r="K20" s="723">
        <f t="shared" ref="K20:K25" si="0">D20+I20</f>
        <v>26314.61</v>
      </c>
      <c r="L20" s="724" t="s">
        <v>8</v>
      </c>
      <c r="M20" s="725" t="s">
        <v>560</v>
      </c>
      <c r="N20" s="726"/>
      <c r="O20" s="714"/>
    </row>
    <row r="21" spans="1:15" ht="12.75" customHeight="1">
      <c r="A21" s="715">
        <v>13</v>
      </c>
      <c r="B21" s="716" t="s">
        <v>555</v>
      </c>
      <c r="C21" s="717" t="s">
        <v>561</v>
      </c>
      <c r="D21" s="718">
        <v>25772.67</v>
      </c>
      <c r="E21" s="719" t="s">
        <v>557</v>
      </c>
      <c r="F21" s="727">
        <f>F20</f>
        <v>572</v>
      </c>
      <c r="G21" s="2100" t="s">
        <v>558</v>
      </c>
      <c r="H21" s="2100"/>
      <c r="I21" s="721">
        <f>IF(Q$5=1,IF(F21&lt;=200,VLOOKUP(F21,[3]S2!B$5:'[3]S2'!F$204,2),IF(F21&gt;200,(F21-200)*[3]S2!C$205+[3]S2!C$204)),IF(Q$5=2,IF(F21&lt;=200,VLOOKUP(F21,[3]S2!B$5:'[3]S2'!F$204,4),IF(F21&gt;200,(F21-200)*[3]S2!E$205+[3]S2!E$204))))</f>
        <v>744.61</v>
      </c>
      <c r="J21" s="722" t="s">
        <v>559</v>
      </c>
      <c r="K21" s="723">
        <f t="shared" si="0"/>
        <v>26517.279999999999</v>
      </c>
      <c r="L21" s="724" t="s">
        <v>8</v>
      </c>
      <c r="M21" s="728"/>
      <c r="N21" s="714"/>
      <c r="O21" s="714"/>
    </row>
    <row r="22" spans="1:15" ht="12.75" customHeight="1">
      <c r="A22" s="715">
        <v>14</v>
      </c>
      <c r="B22" s="716" t="s">
        <v>555</v>
      </c>
      <c r="C22" s="717" t="s">
        <v>562</v>
      </c>
      <c r="D22" s="718">
        <v>24723.33</v>
      </c>
      <c r="E22" s="719" t="s">
        <v>557</v>
      </c>
      <c r="F22" s="727">
        <f>F21</f>
        <v>572</v>
      </c>
      <c r="G22" s="2100" t="s">
        <v>558</v>
      </c>
      <c r="H22" s="2100"/>
      <c r="I22" s="721">
        <f>IF(Q$5=1,IF(F22&lt;=200,VLOOKUP(F22,[3]S2!B$5:'[3]S2'!F$204,2),IF(F22&gt;200,(F22-200)*[3]S2!C$205+[3]S2!C$204)),IF(Q$5=2,IF(F22&lt;=200,VLOOKUP(F22,[3]S2!B$5:'[3]S2'!F$204,4),IF(F22&gt;200,(F22-200)*[3]S2!E$205+[3]S2!E$204))))</f>
        <v>744.61</v>
      </c>
      <c r="J22" s="722" t="s">
        <v>559</v>
      </c>
      <c r="K22" s="723">
        <f t="shared" si="0"/>
        <v>25467.940000000002</v>
      </c>
      <c r="L22" s="724" t="s">
        <v>8</v>
      </c>
      <c r="M22" s="725" t="s">
        <v>563</v>
      </c>
      <c r="N22" s="726"/>
      <c r="O22" s="714"/>
    </row>
    <row r="23" spans="1:15" ht="12.75" customHeight="1">
      <c r="A23" s="715">
        <v>15</v>
      </c>
      <c r="B23" s="716" t="s">
        <v>555</v>
      </c>
      <c r="C23" s="717" t="s">
        <v>564</v>
      </c>
      <c r="D23" s="718">
        <v>25769.67</v>
      </c>
      <c r="E23" s="719" t="s">
        <v>557</v>
      </c>
      <c r="F23" s="727">
        <f>F20</f>
        <v>572</v>
      </c>
      <c r="G23" s="2100" t="s">
        <v>558</v>
      </c>
      <c r="H23" s="2100"/>
      <c r="I23" s="721">
        <f>IF(Q$5=1,IF(F23&lt;=200,VLOOKUP(F23,[3]S2!B$5:'[3]S2'!F$204,2),IF(F23&gt;200,(F23-200)*[3]S2!C$205+[3]S2!C$204)),IF(Q$5=2,IF(F23&lt;=200,VLOOKUP(F23,[3]S2!B$5:'[3]S2'!F$204,4),IF(F23&gt;200,(F23-200)*[3]S2!E$205+[3]S2!E$204))))</f>
        <v>744.61</v>
      </c>
      <c r="J23" s="722" t="s">
        <v>559</v>
      </c>
      <c r="K23" s="723">
        <f t="shared" si="0"/>
        <v>26514.28</v>
      </c>
      <c r="L23" s="724" t="s">
        <v>8</v>
      </c>
      <c r="M23" s="728"/>
      <c r="N23" s="714"/>
      <c r="O23" s="714"/>
    </row>
    <row r="24" spans="1:15" ht="12.75" customHeight="1">
      <c r="A24" s="715">
        <v>16</v>
      </c>
      <c r="B24" s="716" t="s">
        <v>555</v>
      </c>
      <c r="C24" s="717" t="s">
        <v>565</v>
      </c>
      <c r="D24" s="718">
        <v>41516.67</v>
      </c>
      <c r="E24" s="719" t="s">
        <v>557</v>
      </c>
      <c r="F24" s="727">
        <f>F23</f>
        <v>572</v>
      </c>
      <c r="G24" s="2100" t="s">
        <v>558</v>
      </c>
      <c r="H24" s="2100"/>
      <c r="I24" s="721">
        <f>IF(Q$5=1,IF(F24&lt;=200,VLOOKUP(F24,[3]S2!B$5:'[3]S2'!F$204,2),IF(F24&gt;200,(F24-200)*[3]S2!C$205+[3]S2!C$204)),IF(Q$5=2,IF(F24&lt;=200,VLOOKUP(F24,[3]S2!B$5:'[3]S2'!F$204,4),IF(F24&gt;200,(F24-200)*[3]S2!E$205+[3]S2!E$204))))</f>
        <v>744.61</v>
      </c>
      <c r="J24" s="722" t="s">
        <v>559</v>
      </c>
      <c r="K24" s="723">
        <f t="shared" si="0"/>
        <v>42261.279999999999</v>
      </c>
      <c r="L24" s="724" t="s">
        <v>8</v>
      </c>
      <c r="M24" s="725" t="s">
        <v>566</v>
      </c>
      <c r="N24" s="726"/>
      <c r="O24" s="714"/>
    </row>
    <row r="25" spans="1:15" ht="12.75" customHeight="1">
      <c r="A25" s="729">
        <v>17</v>
      </c>
      <c r="B25" s="730" t="s">
        <v>555</v>
      </c>
      <c r="C25" s="717" t="s">
        <v>567</v>
      </c>
      <c r="D25" s="731">
        <v>32243.33</v>
      </c>
      <c r="E25" s="719" t="s">
        <v>557</v>
      </c>
      <c r="F25" s="732">
        <f>F24</f>
        <v>572</v>
      </c>
      <c r="G25" s="2104" t="s">
        <v>558</v>
      </c>
      <c r="H25" s="2104"/>
      <c r="I25" s="733">
        <f>IF(Q$5=1,IF(F25&lt;=200,VLOOKUP(F25,[3]S2!B$5:'[3]S2'!F$204,2),IF(F25&gt;200,(F25-200)*[3]S2!C$205+[3]S2!C$204)),IF(Q$5=2,IF(F25&lt;=200,VLOOKUP(F25,[3]S2!B$5:'[3]S2'!F$204,4),IF(F25&gt;200,(F25-200)*[3]S2!E$205+[3]S2!E$204))))</f>
        <v>744.61</v>
      </c>
      <c r="J25" s="734" t="s">
        <v>559</v>
      </c>
      <c r="K25" s="723">
        <f t="shared" si="0"/>
        <v>32987.94</v>
      </c>
      <c r="L25" s="735" t="s">
        <v>8</v>
      </c>
      <c r="M25" s="728"/>
      <c r="N25" s="714"/>
      <c r="O25" s="714"/>
    </row>
    <row r="26" spans="1:15" ht="12.75" customHeight="1">
      <c r="A26" s="702" t="s">
        <v>568</v>
      </c>
      <c r="B26" s="703"/>
      <c r="C26" s="736"/>
      <c r="D26" s="707"/>
      <c r="E26" s="707" t="s">
        <v>569</v>
      </c>
      <c r="F26" s="704"/>
      <c r="G26" s="737"/>
      <c r="H26" s="738">
        <v>29.5</v>
      </c>
      <c r="I26" s="707" t="s">
        <v>56</v>
      </c>
      <c r="J26" s="710"/>
      <c r="K26" s="711"/>
      <c r="L26" s="712"/>
      <c r="M26" s="713"/>
      <c r="N26" s="739">
        <v>15.5</v>
      </c>
      <c r="O26" s="714"/>
    </row>
    <row r="27" spans="1:15" ht="12.75" customHeight="1">
      <c r="A27" s="715"/>
      <c r="B27" s="740"/>
      <c r="C27" s="741"/>
      <c r="D27" s="713"/>
      <c r="E27" s="713"/>
      <c r="F27" s="713"/>
      <c r="G27" s="742" t="s">
        <v>570</v>
      </c>
      <c r="H27" s="727">
        <v>124</v>
      </c>
      <c r="I27" s="743" t="s">
        <v>558</v>
      </c>
      <c r="J27" s="721" t="e">
        <f>IF(Q$5=1,IF(H27&lt;=200,VLOOKUP(H27,[3]S0!B$5:'[3]S0'!F$204,2),IF(H27&gt;200,(H27-200)*[3]S0!C$205+[3]S0!C$204)),IF(Q$5=2,IF(H27&lt;=200,VLOOKUP(H27,[3]S0!B$5:'[3]S0'!F$204,4),IF(H27&gt;200,(H27-200)*[3]S0!E$205+[3]S0!E$204))))</f>
        <v>#REF!</v>
      </c>
      <c r="K27" s="744" t="s">
        <v>7</v>
      </c>
      <c r="L27" s="745"/>
      <c r="M27" s="713"/>
      <c r="N27" s="739">
        <f>N26+1</f>
        <v>16.5</v>
      </c>
      <c r="O27" s="746"/>
    </row>
    <row r="28" spans="1:15" ht="12.75" customHeight="1">
      <c r="A28" s="715"/>
      <c r="B28" s="740"/>
      <c r="C28" s="742" t="s">
        <v>571</v>
      </c>
      <c r="D28" s="713"/>
      <c r="E28" s="742" t="s">
        <v>572</v>
      </c>
      <c r="F28" s="747"/>
      <c r="G28" s="2105" t="s">
        <v>573</v>
      </c>
      <c r="H28" s="2105"/>
      <c r="I28" s="727" t="s">
        <v>10</v>
      </c>
      <c r="J28" s="748" t="e">
        <f t="shared" ref="J28:J33" si="1">D20-$J$27</f>
        <v>#REF!</v>
      </c>
      <c r="K28" s="744" t="s">
        <v>7</v>
      </c>
      <c r="L28" s="745"/>
      <c r="M28" s="728"/>
      <c r="N28" s="739">
        <f t="shared" ref="N28:N61" si="2">N27+1</f>
        <v>17.5</v>
      </c>
      <c r="O28" s="717"/>
    </row>
    <row r="29" spans="1:15" ht="12.75" customHeight="1">
      <c r="A29" s="715"/>
      <c r="B29" s="740"/>
      <c r="C29" s="742" t="s">
        <v>571</v>
      </c>
      <c r="D29" s="713"/>
      <c r="E29" s="742" t="s">
        <v>572</v>
      </c>
      <c r="F29" s="747"/>
      <c r="G29" s="2105" t="s">
        <v>574</v>
      </c>
      <c r="H29" s="2105"/>
      <c r="I29" s="727" t="s">
        <v>10</v>
      </c>
      <c r="J29" s="748" t="e">
        <f t="shared" si="1"/>
        <v>#REF!</v>
      </c>
      <c r="K29" s="744" t="s">
        <v>7</v>
      </c>
      <c r="L29" s="745"/>
      <c r="M29" s="728"/>
      <c r="N29" s="739">
        <f t="shared" si="2"/>
        <v>18.5</v>
      </c>
      <c r="O29" s="717"/>
    </row>
    <row r="30" spans="1:15" ht="12.75" customHeight="1">
      <c r="A30" s="715"/>
      <c r="B30" s="740"/>
      <c r="C30" s="742" t="s">
        <v>571</v>
      </c>
      <c r="D30" s="713"/>
      <c r="E30" s="742" t="s">
        <v>572</v>
      </c>
      <c r="F30" s="747"/>
      <c r="G30" s="2105" t="s">
        <v>575</v>
      </c>
      <c r="H30" s="2105"/>
      <c r="I30" s="727" t="s">
        <v>10</v>
      </c>
      <c r="J30" s="748" t="e">
        <f t="shared" si="1"/>
        <v>#REF!</v>
      </c>
      <c r="K30" s="744" t="s">
        <v>7</v>
      </c>
      <c r="L30" s="745"/>
      <c r="M30" s="728"/>
      <c r="N30" s="739">
        <f t="shared" si="2"/>
        <v>19.5</v>
      </c>
      <c r="O30" s="717"/>
    </row>
    <row r="31" spans="1:15" ht="12.75" customHeight="1">
      <c r="A31" s="715"/>
      <c r="B31" s="740"/>
      <c r="C31" s="742" t="s">
        <v>571</v>
      </c>
      <c r="D31" s="713"/>
      <c r="E31" s="742" t="s">
        <v>572</v>
      </c>
      <c r="F31" s="747"/>
      <c r="G31" s="2105" t="s">
        <v>576</v>
      </c>
      <c r="H31" s="2105"/>
      <c r="I31" s="727" t="s">
        <v>10</v>
      </c>
      <c r="J31" s="748" t="e">
        <f t="shared" si="1"/>
        <v>#REF!</v>
      </c>
      <c r="K31" s="744" t="s">
        <v>7</v>
      </c>
      <c r="L31" s="745"/>
      <c r="M31" s="728"/>
      <c r="N31" s="739">
        <f t="shared" si="2"/>
        <v>20.5</v>
      </c>
      <c r="O31" s="717"/>
    </row>
    <row r="32" spans="1:15" ht="12.75" customHeight="1">
      <c r="A32" s="715"/>
      <c r="B32" s="740"/>
      <c r="C32" s="742" t="s">
        <v>571</v>
      </c>
      <c r="D32" s="713"/>
      <c r="E32" s="742" t="s">
        <v>572</v>
      </c>
      <c r="F32" s="747"/>
      <c r="G32" s="2105" t="s">
        <v>577</v>
      </c>
      <c r="H32" s="2105"/>
      <c r="I32" s="727" t="s">
        <v>10</v>
      </c>
      <c r="J32" s="748" t="e">
        <f t="shared" si="1"/>
        <v>#REF!</v>
      </c>
      <c r="K32" s="744" t="s">
        <v>7</v>
      </c>
      <c r="L32" s="745"/>
      <c r="M32" s="728"/>
      <c r="N32" s="739">
        <f t="shared" si="2"/>
        <v>21.5</v>
      </c>
      <c r="O32" s="717"/>
    </row>
    <row r="33" spans="1:15" ht="12.75" customHeight="1">
      <c r="A33" s="749"/>
      <c r="B33" s="750"/>
      <c r="C33" s="751" t="s">
        <v>571</v>
      </c>
      <c r="D33" s="752"/>
      <c r="E33" s="751" t="s">
        <v>572</v>
      </c>
      <c r="F33" s="753"/>
      <c r="G33" s="2106" t="s">
        <v>578</v>
      </c>
      <c r="H33" s="2106"/>
      <c r="I33" s="754" t="s">
        <v>10</v>
      </c>
      <c r="J33" s="755" t="e">
        <f t="shared" si="1"/>
        <v>#REF!</v>
      </c>
      <c r="K33" s="756" t="s">
        <v>7</v>
      </c>
      <c r="L33" s="757"/>
      <c r="M33" s="728"/>
      <c r="N33" s="739">
        <f t="shared" si="2"/>
        <v>22.5</v>
      </c>
      <c r="O33" s="717"/>
    </row>
    <row r="34" spans="1:15" ht="12.75" customHeight="1">
      <c r="A34" s="715"/>
      <c r="B34" s="740"/>
      <c r="C34" s="741"/>
      <c r="D34" s="747"/>
      <c r="E34" s="742" t="s">
        <v>554</v>
      </c>
      <c r="F34" s="758">
        <f>[3]S2!C2</f>
        <v>30.5</v>
      </c>
      <c r="G34" s="713" t="s">
        <v>56</v>
      </c>
      <c r="H34" s="759"/>
      <c r="I34" s="760"/>
      <c r="J34" s="721"/>
      <c r="K34" s="721"/>
      <c r="L34" s="761"/>
      <c r="M34" s="713"/>
      <c r="N34" s="739">
        <f t="shared" si="2"/>
        <v>23.5</v>
      </c>
      <c r="O34" s="714"/>
    </row>
    <row r="35" spans="1:15" ht="12.75" customHeight="1">
      <c r="A35" s="715">
        <v>18</v>
      </c>
      <c r="B35" s="762" t="s">
        <v>579</v>
      </c>
      <c r="C35" s="717" t="s">
        <v>580</v>
      </c>
      <c r="D35" s="763" t="e">
        <f t="shared" ref="D35:D40" si="3">INT(J28)</f>
        <v>#REF!</v>
      </c>
      <c r="E35" s="719" t="s">
        <v>557</v>
      </c>
      <c r="F35" s="720">
        <f>676-80</f>
        <v>596</v>
      </c>
      <c r="G35" s="2100" t="s">
        <v>558</v>
      </c>
      <c r="H35" s="2100"/>
      <c r="I35" s="721">
        <f>IF(Q$5=1,IF(F35&lt;=200,VLOOKUP(F35,[3]S2!B$5:'[3]S2'!F$204,2),IF(F35&gt;200,(F35-200)*[3]S2!C$205+[3]S2!C$204)),IF(Q$5=2,IF(F35&lt;=200,VLOOKUP(F35,[3]S2!B$5:'[3]S2'!F$204,4),IF(F35&gt;200,(F35-200)*[3]S2!E$205+[3]S2!E$204))))</f>
        <v>775.81000000000006</v>
      </c>
      <c r="J35" s="722" t="s">
        <v>559</v>
      </c>
      <c r="K35" s="723" t="e">
        <f t="shared" ref="K35:K40" si="4">D35+I35</f>
        <v>#REF!</v>
      </c>
      <c r="L35" s="724" t="s">
        <v>8</v>
      </c>
      <c r="N35" s="739">
        <f t="shared" si="2"/>
        <v>24.5</v>
      </c>
      <c r="O35" s="714"/>
    </row>
    <row r="36" spans="1:15" ht="12.75" customHeight="1">
      <c r="A36" s="715">
        <v>19</v>
      </c>
      <c r="B36" s="762" t="s">
        <v>579</v>
      </c>
      <c r="C36" s="717" t="s">
        <v>581</v>
      </c>
      <c r="D36" s="763" t="e">
        <f t="shared" si="3"/>
        <v>#REF!</v>
      </c>
      <c r="E36" s="719" t="s">
        <v>557</v>
      </c>
      <c r="F36" s="727">
        <f>F35</f>
        <v>596</v>
      </c>
      <c r="G36" s="2100" t="s">
        <v>558</v>
      </c>
      <c r="H36" s="2100"/>
      <c r="I36" s="721">
        <f>IF(Q$5=1,IF(F36&lt;=200,VLOOKUP(F36,[3]S2!B$5:'[3]S2'!F$204,2),IF(F36&gt;200,(F36-200)*[3]S2!C$205+[3]S2!C$204)),IF(Q$5=2,IF(F36&lt;=200,VLOOKUP(F36,[3]S2!B$5:'[3]S2'!F$204,4),IF(F36&gt;200,(F36-200)*[3]S2!E$205+[3]S2!E$204))))</f>
        <v>775.81000000000006</v>
      </c>
      <c r="J36" s="722" t="s">
        <v>559</v>
      </c>
      <c r="K36" s="723" t="e">
        <f t="shared" si="4"/>
        <v>#REF!</v>
      </c>
      <c r="L36" s="724" t="s">
        <v>8</v>
      </c>
      <c r="N36" s="739">
        <f t="shared" si="2"/>
        <v>25.5</v>
      </c>
      <c r="O36" s="714"/>
    </row>
    <row r="37" spans="1:15" ht="12.75" customHeight="1">
      <c r="A37" s="715">
        <v>20</v>
      </c>
      <c r="B37" s="762" t="s">
        <v>579</v>
      </c>
      <c r="C37" s="717" t="s">
        <v>582</v>
      </c>
      <c r="D37" s="763" t="e">
        <f t="shared" si="3"/>
        <v>#REF!</v>
      </c>
      <c r="E37" s="719" t="s">
        <v>557</v>
      </c>
      <c r="F37" s="727">
        <f>F36</f>
        <v>596</v>
      </c>
      <c r="G37" s="2100" t="s">
        <v>558</v>
      </c>
      <c r="H37" s="2100"/>
      <c r="I37" s="721">
        <f>IF(Q$5=1,IF(F37&lt;=200,VLOOKUP(F37,[3]S2!B$5:'[3]S2'!F$204,2),IF(F37&gt;200,(F37-200)*[3]S2!C$205+[3]S2!C$204)),IF(Q$5=2,IF(F37&lt;=200,VLOOKUP(F37,[3]S2!B$5:'[3]S2'!F$204,4),IF(F37&gt;200,(F37-200)*[3]S2!E$205+[3]S2!E$204))))</f>
        <v>775.81000000000006</v>
      </c>
      <c r="J37" s="722" t="s">
        <v>559</v>
      </c>
      <c r="K37" s="723" t="e">
        <f t="shared" si="4"/>
        <v>#REF!</v>
      </c>
      <c r="L37" s="724" t="s">
        <v>8</v>
      </c>
      <c r="N37" s="739">
        <f t="shared" si="2"/>
        <v>26.5</v>
      </c>
      <c r="O37" s="714"/>
    </row>
    <row r="38" spans="1:15" ht="12.75" customHeight="1">
      <c r="A38" s="715">
        <v>21</v>
      </c>
      <c r="B38" s="762" t="str">
        <f>B35</f>
        <v>อ.ศรีราชา จ.ชลบุรี</v>
      </c>
      <c r="C38" s="717" t="s">
        <v>583</v>
      </c>
      <c r="D38" s="763" t="e">
        <f t="shared" si="3"/>
        <v>#REF!</v>
      </c>
      <c r="E38" s="719" t="s">
        <v>557</v>
      </c>
      <c r="F38" s="727">
        <f>F37</f>
        <v>596</v>
      </c>
      <c r="G38" s="2100" t="s">
        <v>558</v>
      </c>
      <c r="H38" s="2100"/>
      <c r="I38" s="721">
        <f>IF(Q$5=1,IF(F38&lt;=200,VLOOKUP(F38,[3]S2!B$5:'[3]S2'!F$204,2),IF(F38&gt;200,(F38-200)*[3]S2!C$205+[3]S2!C$204)),IF(Q$5=2,IF(F38&lt;=200,VLOOKUP(F38,[3]S2!B$5:'[3]S2'!F$204,4),IF(F38&gt;200,(F38-200)*[3]S2!E$205+[3]S2!E$204))))</f>
        <v>775.81000000000006</v>
      </c>
      <c r="J38" s="722" t="s">
        <v>559</v>
      </c>
      <c r="K38" s="723" t="e">
        <f t="shared" si="4"/>
        <v>#REF!</v>
      </c>
      <c r="L38" s="724" t="s">
        <v>8</v>
      </c>
      <c r="N38" s="739">
        <f t="shared" si="2"/>
        <v>27.5</v>
      </c>
      <c r="O38" s="714"/>
    </row>
    <row r="39" spans="1:15" ht="12.75" customHeight="1">
      <c r="A39" s="715">
        <v>22</v>
      </c>
      <c r="B39" s="762" t="str">
        <f>B38</f>
        <v>อ.ศรีราชา จ.ชลบุรี</v>
      </c>
      <c r="C39" s="717" t="s">
        <v>584</v>
      </c>
      <c r="D39" s="763" t="e">
        <f t="shared" si="3"/>
        <v>#REF!</v>
      </c>
      <c r="E39" s="719" t="s">
        <v>557</v>
      </c>
      <c r="F39" s="727">
        <f>F38</f>
        <v>596</v>
      </c>
      <c r="G39" s="2100" t="s">
        <v>558</v>
      </c>
      <c r="H39" s="2100"/>
      <c r="I39" s="721">
        <f>IF(Q$5=1,IF(F39&lt;=200,VLOOKUP(F39,[3]S2!B$5:'[3]S2'!F$204,2),IF(F39&gt;200,(F39-200)*[3]S2!C$205+[3]S2!C$204)),IF(Q$5=2,IF(F39&lt;=200,VLOOKUP(F39,[3]S2!B$5:'[3]S2'!F$204,4),IF(F39&gt;200,(F39-200)*[3]S2!E$205+[3]S2!E$204))))</f>
        <v>775.81000000000006</v>
      </c>
      <c r="J39" s="722" t="s">
        <v>559</v>
      </c>
      <c r="K39" s="723" t="e">
        <f t="shared" si="4"/>
        <v>#REF!</v>
      </c>
      <c r="L39" s="724" t="s">
        <v>8</v>
      </c>
      <c r="N39" s="739">
        <f t="shared" si="2"/>
        <v>28.5</v>
      </c>
      <c r="O39" s="714"/>
    </row>
    <row r="40" spans="1:15" ht="12.75" customHeight="1">
      <c r="A40" s="729">
        <v>23</v>
      </c>
      <c r="B40" s="764" t="str">
        <f>B39</f>
        <v>อ.ศรีราชา จ.ชลบุรี</v>
      </c>
      <c r="C40" s="765" t="s">
        <v>585</v>
      </c>
      <c r="D40" s="766" t="e">
        <f t="shared" si="3"/>
        <v>#REF!</v>
      </c>
      <c r="E40" s="767" t="s">
        <v>557</v>
      </c>
      <c r="F40" s="732">
        <f>F39</f>
        <v>596</v>
      </c>
      <c r="G40" s="2104" t="s">
        <v>558</v>
      </c>
      <c r="H40" s="2104"/>
      <c r="I40" s="733">
        <f>IF(Q$5=1,IF(F40&lt;=200,VLOOKUP(F40,[3]S2!B$5:'[3]S2'!F$204,2),IF(F40&gt;200,(F40-200)*[3]S2!C$205+[3]S2!C$204)),IF(Q$5=2,IF(F40&lt;=200,VLOOKUP(F40,[3]S2!B$5:'[3]S2'!F$204,4),IF(F40&gt;200,(F40-200)*[3]S2!E$205+[3]S2!E$204))))</f>
        <v>775.81000000000006</v>
      </c>
      <c r="J40" s="734" t="s">
        <v>559</v>
      </c>
      <c r="K40" s="768" t="e">
        <f t="shared" si="4"/>
        <v>#REF!</v>
      </c>
      <c r="L40" s="735" t="s">
        <v>8</v>
      </c>
      <c r="N40" s="739">
        <f t="shared" si="2"/>
        <v>29.5</v>
      </c>
      <c r="O40" s="714"/>
    </row>
    <row r="41" spans="1:15" ht="12.75" customHeight="1">
      <c r="A41" s="2107" t="s">
        <v>586</v>
      </c>
      <c r="B41" s="2108"/>
      <c r="C41" s="741"/>
      <c r="D41" s="747"/>
      <c r="E41" s="760"/>
      <c r="F41" s="747"/>
      <c r="G41" s="769" t="s">
        <v>587</v>
      </c>
      <c r="H41" s="770" t="s">
        <v>588</v>
      </c>
      <c r="I41" s="717" t="str">
        <f t="shared" ref="I41:I46" si="5">B35</f>
        <v>อ.ศรีราชา จ.ชลบุรี</v>
      </c>
      <c r="J41" s="717" t="s">
        <v>573</v>
      </c>
      <c r="K41" s="771" t="e">
        <f t="shared" ref="K41:K46" si="6">INT(MIN(K20,K35))</f>
        <v>#REF!</v>
      </c>
      <c r="L41" s="724" t="s">
        <v>8</v>
      </c>
      <c r="N41" s="739">
        <f t="shared" si="2"/>
        <v>30.5</v>
      </c>
      <c r="O41" s="714"/>
    </row>
    <row r="42" spans="1:15" ht="12.75" customHeight="1">
      <c r="A42" s="772"/>
      <c r="B42" s="773"/>
      <c r="C42" s="741"/>
      <c r="D42" s="747"/>
      <c r="E42" s="760"/>
      <c r="F42" s="747"/>
      <c r="G42" s="769" t="s">
        <v>587</v>
      </c>
      <c r="H42" s="770" t="s">
        <v>588</v>
      </c>
      <c r="I42" s="717" t="str">
        <f t="shared" si="5"/>
        <v>อ.ศรีราชา จ.ชลบุรี</v>
      </c>
      <c r="J42" s="717" t="s">
        <v>574</v>
      </c>
      <c r="K42" s="771" t="e">
        <f t="shared" si="6"/>
        <v>#REF!</v>
      </c>
      <c r="L42" s="724" t="s">
        <v>8</v>
      </c>
      <c r="N42" s="739">
        <f t="shared" si="2"/>
        <v>31.5</v>
      </c>
      <c r="O42" s="714"/>
    </row>
    <row r="43" spans="1:15" ht="12.75" customHeight="1">
      <c r="A43" s="772"/>
      <c r="B43" s="773"/>
      <c r="C43" s="741"/>
      <c r="D43" s="747"/>
      <c r="E43" s="760"/>
      <c r="F43" s="747"/>
      <c r="G43" s="769" t="s">
        <v>587</v>
      </c>
      <c r="H43" s="770" t="s">
        <v>588</v>
      </c>
      <c r="I43" s="717" t="str">
        <f t="shared" si="5"/>
        <v>อ.ศรีราชา จ.ชลบุรี</v>
      </c>
      <c r="J43" s="717" t="s">
        <v>575</v>
      </c>
      <c r="K43" s="771" t="e">
        <f t="shared" si="6"/>
        <v>#REF!</v>
      </c>
      <c r="L43" s="724" t="s">
        <v>8</v>
      </c>
      <c r="N43" s="739">
        <f t="shared" si="2"/>
        <v>32.5</v>
      </c>
      <c r="O43" s="714"/>
    </row>
    <row r="44" spans="1:15" ht="12.75" customHeight="1">
      <c r="A44" s="774"/>
      <c r="B44" s="740"/>
      <c r="C44" s="741"/>
      <c r="D44" s="747"/>
      <c r="E44" s="760"/>
      <c r="F44" s="747"/>
      <c r="G44" s="769" t="s">
        <v>587</v>
      </c>
      <c r="H44" s="770" t="s">
        <v>588</v>
      </c>
      <c r="I44" s="717" t="str">
        <f t="shared" si="5"/>
        <v>อ.ศรีราชา จ.ชลบุรี</v>
      </c>
      <c r="J44" s="717" t="s">
        <v>576</v>
      </c>
      <c r="K44" s="771" t="e">
        <f t="shared" si="6"/>
        <v>#REF!</v>
      </c>
      <c r="L44" s="724" t="s">
        <v>8</v>
      </c>
      <c r="N44" s="739">
        <f t="shared" si="2"/>
        <v>33.5</v>
      </c>
      <c r="O44" s="714"/>
    </row>
    <row r="45" spans="1:15" ht="12.75" customHeight="1">
      <c r="A45" s="715"/>
      <c r="B45" s="740"/>
      <c r="C45" s="741"/>
      <c r="D45" s="747"/>
      <c r="E45" s="760"/>
      <c r="F45" s="747"/>
      <c r="G45" s="769" t="s">
        <v>587</v>
      </c>
      <c r="H45" s="770" t="s">
        <v>588</v>
      </c>
      <c r="I45" s="717" t="str">
        <f t="shared" si="5"/>
        <v>อ.ศรีราชา จ.ชลบุรี</v>
      </c>
      <c r="J45" s="717" t="s">
        <v>577</v>
      </c>
      <c r="K45" s="771" t="e">
        <f t="shared" si="6"/>
        <v>#REF!</v>
      </c>
      <c r="L45" s="724" t="s">
        <v>8</v>
      </c>
      <c r="N45" s="739">
        <f t="shared" si="2"/>
        <v>34.5</v>
      </c>
      <c r="O45" s="714"/>
    </row>
    <row r="46" spans="1:15" ht="12.75" customHeight="1">
      <c r="A46" s="729"/>
      <c r="B46" s="775"/>
      <c r="C46" s="776"/>
      <c r="D46" s="777"/>
      <c r="E46" s="778"/>
      <c r="F46" s="777"/>
      <c r="G46" s="779" t="s">
        <v>587</v>
      </c>
      <c r="H46" s="780" t="s">
        <v>588</v>
      </c>
      <c r="I46" s="765" t="str">
        <f t="shared" si="5"/>
        <v>อ.ศรีราชา จ.ชลบุรี</v>
      </c>
      <c r="J46" s="765" t="s">
        <v>578</v>
      </c>
      <c r="K46" s="781" t="e">
        <f t="shared" si="6"/>
        <v>#REF!</v>
      </c>
      <c r="L46" s="735" t="s">
        <v>8</v>
      </c>
      <c r="N46" s="739">
        <f t="shared" si="2"/>
        <v>35.5</v>
      </c>
      <c r="O46" s="714"/>
    </row>
    <row r="47" spans="1:15" ht="12.75" customHeight="1">
      <c r="A47" s="678">
        <v>24</v>
      </c>
      <c r="B47" s="678" t="str">
        <f>[3]กรอกราคาวัสดุ!B26</f>
        <v>ในสายทาง</v>
      </c>
      <c r="C47" s="678" t="str">
        <f>[3]กรอกราคาวัสดุ!C26</f>
        <v xml:space="preserve">Hot Mix </v>
      </c>
      <c r="D47" s="782"/>
      <c r="E47" s="697" t="str">
        <f>[3]กรอกราคาวัสดุ!E26</f>
        <v>บาท/ตัน ขนส่ง</v>
      </c>
      <c r="F47" s="686">
        <f>[3]กรอกราคาวัสดุ!G26</f>
        <v>1</v>
      </c>
      <c r="G47" s="690" t="str">
        <f>[3]กรอกราคาวัสดุ!H26</f>
        <v xml:space="preserve">กม.     </v>
      </c>
      <c r="H47" s="686" t="str">
        <f>[3]กรอกราคาวัสดุ!I26</f>
        <v>=</v>
      </c>
      <c r="I47" s="698" t="str">
        <f>[3]กรอกราคาวัสดุ!J26</f>
        <v>6.38</v>
      </c>
      <c r="J47" s="699" t="str">
        <f>[3]กรอกราคาวัสดุ!K26</f>
        <v>บาท/ตัน</v>
      </c>
      <c r="K47" s="699" t="str">
        <f>[3]กรอกราคาวัสดุ!L26</f>
        <v>รถสิบล้อ</v>
      </c>
      <c r="N47" s="739">
        <f t="shared" si="2"/>
        <v>36.5</v>
      </c>
    </row>
    <row r="48" spans="1:15" ht="12.75" customHeight="1">
      <c r="A48" s="678">
        <v>25</v>
      </c>
      <c r="B48" s="678" t="str">
        <f>[3]กรอกราคาวัสดุ!B27</f>
        <v>ในสายทาง</v>
      </c>
      <c r="C48" s="678" t="str">
        <f>[3]กรอกราคาวัสดุ!C27</f>
        <v xml:space="preserve">Hot Mix </v>
      </c>
      <c r="D48" s="782"/>
      <c r="E48" s="697" t="str">
        <f>[3]กรอกราคาวัสดุ!E27</f>
        <v>บาท/ตัน ขนส่ง</v>
      </c>
      <c r="F48" s="686">
        <f>[3]กรอกราคาวัสดุ!G27</f>
        <v>1</v>
      </c>
      <c r="G48" s="690" t="str">
        <f>[3]กรอกราคาวัสดุ!H27</f>
        <v xml:space="preserve">กม.     </v>
      </c>
      <c r="H48" s="686" t="str">
        <f>[3]กรอกราคาวัสดุ!I27</f>
        <v>=</v>
      </c>
      <c r="I48" s="698" t="str">
        <f>[3]กรอกราคาวัสดุ!J27</f>
        <v>6.38</v>
      </c>
      <c r="J48" s="699" t="str">
        <f>[3]กรอกราคาวัสดุ!K27</f>
        <v>บาท/ตัน</v>
      </c>
      <c r="K48" s="699" t="str">
        <f>[3]กรอกราคาวัสดุ!L27</f>
        <v>รถสิบล้อ</v>
      </c>
      <c r="N48" s="739">
        <f t="shared" si="2"/>
        <v>37.5</v>
      </c>
    </row>
    <row r="49" spans="1:14" ht="12.75" customHeight="1">
      <c r="A49" s="678">
        <v>26</v>
      </c>
      <c r="B49" s="678" t="str">
        <f>[3]กรอกราคาวัสดุ!B28</f>
        <v>อำเภอเมือง มุกดาหาร</v>
      </c>
      <c r="C49" s="678" t="str">
        <f>[3]กรอกราคาวัสดุ!C28</f>
        <v>ทรายถม</v>
      </c>
      <c r="D49" s="690">
        <f>[3]กรอกราคาวัสดุ!D28</f>
        <v>200</v>
      </c>
      <c r="E49" s="697" t="str">
        <f>[3]กรอกราคาวัสดุ!E28</f>
        <v>บาท/ลบ.ม. ขนส่ง</v>
      </c>
      <c r="F49" s="686">
        <f>[3]กรอกราคาวัสดุ!G28</f>
        <v>20</v>
      </c>
      <c r="G49" s="690" t="str">
        <f>[3]กรอกราคาวัสดุ!H28</f>
        <v xml:space="preserve">กม.     </v>
      </c>
      <c r="H49" s="686" t="str">
        <f>[3]กรอกราคาวัสดุ!I28</f>
        <v>=</v>
      </c>
      <c r="I49" s="698">
        <f>[3]กรอกราคาวัสดุ!J28</f>
        <v>61.32</v>
      </c>
      <c r="J49" s="699" t="str">
        <f>[3]กรอกราคาวัสดุ!K28</f>
        <v>บาท/ลบ.ม.</v>
      </c>
      <c r="K49" s="699" t="str">
        <f>[3]กรอกราคาวัสดุ!L28</f>
        <v>รถสิบล้อ</v>
      </c>
      <c r="N49" s="739">
        <f t="shared" si="2"/>
        <v>38.5</v>
      </c>
    </row>
    <row r="50" spans="1:14" ht="12.75" customHeight="1">
      <c r="A50" s="678">
        <v>27</v>
      </c>
      <c r="B50" s="678" t="str">
        <f>[3]กรอกราคาวัสดุ!B29</f>
        <v>อำเภอเมือง มุกดาหาร</v>
      </c>
      <c r="C50" s="678" t="str">
        <f>[3]กรอกราคาวัสดุ!C29</f>
        <v>ทรายหยาบ</v>
      </c>
      <c r="D50" s="690">
        <f>[3]กรอกราคาวัสดุ!D29</f>
        <v>250</v>
      </c>
      <c r="E50" s="697" t="str">
        <f>[3]กรอกราคาวัสดุ!E29</f>
        <v>บาท/ลบ.ม. ขนส่ง</v>
      </c>
      <c r="F50" s="686">
        <f>[3]กรอกราคาวัสดุ!G29</f>
        <v>20</v>
      </c>
      <c r="G50" s="690" t="str">
        <f>[3]กรอกราคาวัสดุ!H29</f>
        <v xml:space="preserve">กม.     </v>
      </c>
      <c r="H50" s="686" t="str">
        <f>[3]กรอกราคาวัสดุ!I29</f>
        <v>=</v>
      </c>
      <c r="I50" s="698">
        <f>[3]กรอกราคาวัสดุ!J29</f>
        <v>61.32</v>
      </c>
      <c r="J50" s="699" t="str">
        <f>[3]กรอกราคาวัสดุ!K29</f>
        <v>บาท/ลบ.ม.</v>
      </c>
      <c r="K50" s="699" t="str">
        <f>[3]กรอกราคาวัสดุ!L29</f>
        <v>รถสิบล้อ</v>
      </c>
      <c r="N50" s="739">
        <f t="shared" si="2"/>
        <v>39.5</v>
      </c>
    </row>
    <row r="51" spans="1:14" ht="12.75" customHeight="1">
      <c r="A51" s="678">
        <v>28</v>
      </c>
      <c r="B51" s="678" t="str">
        <f>[3]กรอกราคาวัสดุ!B30</f>
        <v>อำเภอเมือง มุกดาหาร</v>
      </c>
      <c r="C51" s="678" t="str">
        <f>[3]กรอกราคาวัสดุ!C30</f>
        <v>ปูนชีเมนต์</v>
      </c>
      <c r="D51" s="690">
        <f>[3]กรอกราคาวัสดุ!D30</f>
        <v>2336.4499999999998</v>
      </c>
      <c r="E51" s="697" t="str">
        <f>[3]กรอกราคาวัสดุ!E30</f>
        <v>บาท/ตัน ขนส่ง</v>
      </c>
      <c r="F51" s="686">
        <f>[3]กรอกราคาวัสดุ!G30</f>
        <v>20</v>
      </c>
      <c r="G51" s="690" t="str">
        <f>[3]กรอกราคาวัสดุ!H30</f>
        <v xml:space="preserve">กม.     </v>
      </c>
      <c r="H51" s="686" t="str">
        <f>[3]กรอกราคาวัสดุ!I30</f>
        <v>=</v>
      </c>
      <c r="I51" s="698" t="str">
        <f>[3]กรอกราคาวัสดุ!J30</f>
        <v>43.8</v>
      </c>
      <c r="J51" s="699" t="str">
        <f>[3]กรอกราคาวัสดุ!K30</f>
        <v>บาท/ตัน</v>
      </c>
      <c r="K51" s="699" t="str">
        <f>[3]กรอกราคาวัสดุ!L30</f>
        <v>รถสิบล้อ</v>
      </c>
      <c r="N51" s="739">
        <f>N50+1</f>
        <v>40.5</v>
      </c>
    </row>
    <row r="52" spans="1:14" ht="12.75" customHeight="1">
      <c r="A52" s="678">
        <v>29</v>
      </c>
      <c r="B52" s="678" t="str">
        <f>[3]กรอกราคาวัสดุ!B31</f>
        <v>อำเภอเมือง มุกดาหาร</v>
      </c>
      <c r="C52" s="678" t="str">
        <f>[3]กรอกราคาวัสดุ!C31</f>
        <v>เหล็กเสริมไวท์เมทต์</v>
      </c>
      <c r="D52" s="690">
        <f>[3]กรอกราคาวัสดุ!D31</f>
        <v>60</v>
      </c>
      <c r="E52" s="697" t="str">
        <f>[3]กรอกราคาวัสดุ!E31</f>
        <v>บาท/ตร.ม. ขนส่ง</v>
      </c>
      <c r="F52" s="686">
        <f>[3]กรอกราคาวัสดุ!G31</f>
        <v>20</v>
      </c>
      <c r="G52" s="690" t="str">
        <f>[3]กรอกราคาวัสดุ!H31</f>
        <v xml:space="preserve">กม.     </v>
      </c>
      <c r="H52" s="686" t="str">
        <f>[3]กรอกราคาวัสดุ!I31</f>
        <v>=</v>
      </c>
      <c r="I52" s="698">
        <f>[3]กรอกราคาวัสดุ!J31*(1.5/1000)</f>
        <v>6.5699999999999995E-2</v>
      </c>
      <c r="J52" s="699" t="s">
        <v>115</v>
      </c>
      <c r="K52" s="699" t="str">
        <f>[3]กรอกราคาวัสดุ!L31</f>
        <v>รถสิบล้อ</v>
      </c>
      <c r="N52" s="739">
        <f t="shared" si="2"/>
        <v>41.5</v>
      </c>
    </row>
    <row r="53" spans="1:14" ht="12.75" customHeight="1">
      <c r="A53" s="678">
        <v>30</v>
      </c>
      <c r="B53" s="678" t="str">
        <f>[3]กรอกราคาวัสดุ!B32</f>
        <v>อำเภอเมือง มุกดาหาร</v>
      </c>
      <c r="C53" s="783" t="s">
        <v>589</v>
      </c>
      <c r="D53" s="690">
        <f>[3]กรอกราคาวัสดุ!D32</f>
        <v>22314.49</v>
      </c>
      <c r="E53" s="697" t="str">
        <f>[3]กรอกราคาวัสดุ!E32</f>
        <v>บาท/ตัน ขนส่ง</v>
      </c>
      <c r="F53" s="686">
        <f>[3]กรอกราคาวัสดุ!G32</f>
        <v>20</v>
      </c>
      <c r="G53" s="690" t="str">
        <f>[3]กรอกราคาวัสดุ!H32</f>
        <v xml:space="preserve">กม.     </v>
      </c>
      <c r="H53" s="686" t="str">
        <f>[3]กรอกราคาวัสดุ!I32</f>
        <v>=</v>
      </c>
      <c r="I53" s="698" t="str">
        <f>[3]กรอกราคาวัสดุ!J32</f>
        <v>43.8</v>
      </c>
      <c r="J53" s="699" t="str">
        <f>[3]กรอกราคาวัสดุ!K32</f>
        <v>บาท/ตัน</v>
      </c>
      <c r="K53" s="699" t="str">
        <f>[3]กรอกราคาวัสดุ!L32</f>
        <v>รถสิบล้อ</v>
      </c>
      <c r="N53" s="739">
        <f>N52+1</f>
        <v>42.5</v>
      </c>
    </row>
    <row r="54" spans="1:14" ht="12.75" customHeight="1">
      <c r="A54" s="678">
        <v>31</v>
      </c>
      <c r="B54" s="678" t="str">
        <f>[3]กรอกราคาวัสดุ!B33</f>
        <v>อำเภอเมือง มุกดาหาร</v>
      </c>
      <c r="C54" s="783" t="s">
        <v>590</v>
      </c>
      <c r="D54" s="690">
        <f>[3]กรอกราคาวัสดุ!D33</f>
        <v>20601.87</v>
      </c>
      <c r="E54" s="697" t="str">
        <f>[3]กรอกราคาวัสดุ!E33</f>
        <v>บาท/ตัน ขนส่ง</v>
      </c>
      <c r="F54" s="686">
        <f>[3]กรอกราคาวัสดุ!G33</f>
        <v>20</v>
      </c>
      <c r="G54" s="690" t="str">
        <f>[3]กรอกราคาวัสดุ!H33</f>
        <v xml:space="preserve">กม.     </v>
      </c>
      <c r="H54" s="686" t="str">
        <f>[3]กรอกราคาวัสดุ!I33</f>
        <v>=</v>
      </c>
      <c r="I54" s="698" t="str">
        <f>[3]กรอกราคาวัสดุ!J33</f>
        <v>43.8</v>
      </c>
      <c r="J54" s="699" t="str">
        <f>[3]กรอกราคาวัสดุ!K33</f>
        <v>บาท/ตัน</v>
      </c>
      <c r="K54" s="699" t="str">
        <f>[3]กรอกราคาวัสดุ!L33</f>
        <v>รถสิบล้อ</v>
      </c>
      <c r="N54" s="739">
        <f t="shared" si="2"/>
        <v>43.5</v>
      </c>
    </row>
    <row r="55" spans="1:14" ht="12.75" customHeight="1">
      <c r="A55" s="678">
        <v>32</v>
      </c>
      <c r="B55" s="678" t="str">
        <f>[3]กรอกราคาวัสดุ!B34</f>
        <v>อำเภอเมือง มุกดาหาร</v>
      </c>
      <c r="C55" s="783" t="s">
        <v>591</v>
      </c>
      <c r="D55" s="690">
        <f>[3]กรอกราคาวัสดุ!D34</f>
        <v>22099.07</v>
      </c>
      <c r="E55" s="697" t="str">
        <f>[3]กรอกราคาวัสดุ!E34</f>
        <v>บาท/ตัน ขนส่ง</v>
      </c>
      <c r="F55" s="686">
        <f>[3]กรอกราคาวัสดุ!G34</f>
        <v>20</v>
      </c>
      <c r="G55" s="690" t="str">
        <f>[3]กรอกราคาวัสดุ!H34</f>
        <v xml:space="preserve">กม.     </v>
      </c>
      <c r="H55" s="686" t="str">
        <f>[3]กรอกราคาวัสดุ!I34</f>
        <v>=</v>
      </c>
      <c r="I55" s="698" t="str">
        <f>[3]กรอกราคาวัสดุ!J34</f>
        <v>43.8</v>
      </c>
      <c r="J55" s="699" t="str">
        <f>[3]กรอกราคาวัสดุ!K34</f>
        <v>บาท/ตัน</v>
      </c>
      <c r="K55" s="699" t="str">
        <f>[3]กรอกราคาวัสดุ!L34</f>
        <v>รถสิบล้อ</v>
      </c>
      <c r="N55" s="739">
        <f t="shared" si="2"/>
        <v>44.5</v>
      </c>
    </row>
    <row r="56" spans="1:14" ht="12.75" customHeight="1">
      <c r="A56" s="678">
        <v>33</v>
      </c>
      <c r="B56" s="678" t="str">
        <f>[3]กรอกราคาวัสดุ!B35</f>
        <v>อำเภอเมือง มุกดาหาร</v>
      </c>
      <c r="C56" s="783" t="s">
        <v>592</v>
      </c>
      <c r="D56" s="690">
        <f>[3]กรอกราคาวัสดุ!D35</f>
        <v>20859.810000000001</v>
      </c>
      <c r="E56" s="697" t="str">
        <f>[3]กรอกราคาวัสดุ!E35</f>
        <v>บาท/ตัน ขนส่ง</v>
      </c>
      <c r="F56" s="686">
        <f>[3]กรอกราคาวัสดุ!G35</f>
        <v>20</v>
      </c>
      <c r="G56" s="690" t="str">
        <f>[3]กรอกราคาวัสดุ!H35</f>
        <v xml:space="preserve">กม.     </v>
      </c>
      <c r="H56" s="686" t="str">
        <f>[3]กรอกราคาวัสดุ!I35</f>
        <v>=</v>
      </c>
      <c r="I56" s="698" t="str">
        <f>[3]กรอกราคาวัสดุ!J35</f>
        <v>43.8</v>
      </c>
      <c r="J56" s="699" t="str">
        <f>[3]กรอกราคาวัสดุ!K35</f>
        <v>บาท/ตัน</v>
      </c>
      <c r="K56" s="699" t="str">
        <f>[3]กรอกราคาวัสดุ!L35</f>
        <v>รถสิบล้อ</v>
      </c>
      <c r="N56" s="739">
        <f t="shared" si="2"/>
        <v>45.5</v>
      </c>
    </row>
    <row r="57" spans="1:14" ht="12.75" customHeight="1">
      <c r="A57" s="678">
        <v>34</v>
      </c>
      <c r="B57" s="678" t="str">
        <f>[3]กรอกราคาวัสดุ!B36</f>
        <v>อำเภอเมือง มุกดาหาร</v>
      </c>
      <c r="C57" s="783" t="s">
        <v>593</v>
      </c>
      <c r="D57" s="690">
        <f>[3]กรอกราคาวัสดุ!D36</f>
        <v>20738.32</v>
      </c>
      <c r="E57" s="697" t="str">
        <f>[3]กรอกราคาวัสดุ!E36</f>
        <v>บาท/ตัน ขนส่ง</v>
      </c>
      <c r="F57" s="686">
        <f>[3]กรอกราคาวัสดุ!G36</f>
        <v>20</v>
      </c>
      <c r="G57" s="690" t="str">
        <f>[3]กรอกราคาวัสดุ!H36</f>
        <v xml:space="preserve">กม.     </v>
      </c>
      <c r="H57" s="686" t="str">
        <f>[3]กรอกราคาวัสดุ!I36</f>
        <v>=</v>
      </c>
      <c r="I57" s="698" t="str">
        <f>[3]กรอกราคาวัสดุ!J36</f>
        <v>43.8</v>
      </c>
      <c r="J57" s="699" t="str">
        <f>[3]กรอกราคาวัสดุ!K36</f>
        <v>บาท/ตัน</v>
      </c>
      <c r="K57" s="699" t="str">
        <f>[3]กรอกราคาวัสดุ!L36</f>
        <v>รถสิบล้อ</v>
      </c>
      <c r="N57" s="739">
        <f t="shared" si="2"/>
        <v>46.5</v>
      </c>
    </row>
    <row r="58" spans="1:14" ht="12.75" customHeight="1">
      <c r="A58" s="678">
        <v>35</v>
      </c>
      <c r="B58" s="678" t="str">
        <f>[3]กรอกราคาวัสดุ!B37</f>
        <v>อำเภอเมือง มุกดาหาร</v>
      </c>
      <c r="C58" s="783" t="s">
        <v>594</v>
      </c>
      <c r="D58" s="690">
        <f>[3]กรอกราคาวัสดุ!D37</f>
        <v>26495.33</v>
      </c>
      <c r="E58" s="697" t="str">
        <f>[3]กรอกราคาวัสดุ!E37</f>
        <v>บาท/ตัน ขนส่ง</v>
      </c>
      <c r="F58" s="686">
        <f>[3]กรอกราคาวัสดุ!G37</f>
        <v>20</v>
      </c>
      <c r="G58" s="690" t="str">
        <f>[3]กรอกราคาวัสดุ!H37</f>
        <v xml:space="preserve">กม.     </v>
      </c>
      <c r="H58" s="686" t="str">
        <f>[3]กรอกราคาวัสดุ!I37</f>
        <v>=</v>
      </c>
      <c r="I58" s="698" t="str">
        <f>[3]กรอกราคาวัสดุ!J37</f>
        <v>43.8</v>
      </c>
      <c r="J58" s="699" t="str">
        <f>[3]กรอกราคาวัสดุ!K37</f>
        <v>บาท/ตัน</v>
      </c>
      <c r="K58" s="699" t="str">
        <f>[3]กรอกราคาวัสดุ!L37</f>
        <v>รถสิบล้อ</v>
      </c>
      <c r="N58" s="739">
        <f t="shared" si="2"/>
        <v>47.5</v>
      </c>
    </row>
    <row r="59" spans="1:14" ht="12.75" customHeight="1">
      <c r="A59" s="678">
        <v>36</v>
      </c>
      <c r="B59" s="678" t="str">
        <f>[3]กรอกราคาวัสดุ!B38</f>
        <v>อำเภอเมือง มุกดาหาร</v>
      </c>
      <c r="C59" s="783" t="s">
        <v>595</v>
      </c>
      <c r="D59" s="690">
        <f>[3]กรอกราคาวัสดุ!D38</f>
        <v>20489.72</v>
      </c>
      <c r="E59" s="697" t="str">
        <f>[3]กรอกราคาวัสดุ!E38</f>
        <v>บาท/ตัน ขนส่ง</v>
      </c>
      <c r="F59" s="686">
        <f>[3]กรอกราคาวัสดุ!G38</f>
        <v>20</v>
      </c>
      <c r="G59" s="690" t="str">
        <f>[3]กรอกราคาวัสดุ!H38</f>
        <v xml:space="preserve">กม.     </v>
      </c>
      <c r="H59" s="686" t="str">
        <f>[3]กรอกราคาวัสดุ!I38</f>
        <v>=</v>
      </c>
      <c r="I59" s="698" t="str">
        <f>[3]กรอกราคาวัสดุ!J38</f>
        <v>43.8</v>
      </c>
      <c r="J59" s="699" t="str">
        <f>[3]กรอกราคาวัสดุ!K38</f>
        <v>บาท/ตัน</v>
      </c>
      <c r="K59" s="699" t="str">
        <f>[3]กรอกราคาวัสดุ!L38</f>
        <v>รถสิบล้อ</v>
      </c>
      <c r="N59" s="739">
        <f t="shared" si="2"/>
        <v>48.5</v>
      </c>
    </row>
    <row r="60" spans="1:14" ht="12.75" customHeight="1">
      <c r="A60" s="678">
        <v>37</v>
      </c>
      <c r="B60" s="678" t="str">
        <f>[3]กรอกราคาวัสดุ!B39</f>
        <v>อำเภอเมือง มุกดาหาร</v>
      </c>
      <c r="C60" s="783" t="s">
        <v>596</v>
      </c>
      <c r="D60" s="690">
        <f>[3]กรอกราคาวัสดุ!D39</f>
        <v>21869.16</v>
      </c>
      <c r="E60" s="697" t="str">
        <f>[3]กรอกราคาวัสดุ!E39</f>
        <v>บาท/ตัน ขนส่ง</v>
      </c>
      <c r="F60" s="686">
        <f>[3]กรอกราคาวัสดุ!G39</f>
        <v>20</v>
      </c>
      <c r="G60" s="690" t="str">
        <f>[3]กรอกราคาวัสดุ!H39</f>
        <v xml:space="preserve">กม.     </v>
      </c>
      <c r="H60" s="686" t="str">
        <f>[3]กรอกราคาวัสดุ!I39</f>
        <v>=</v>
      </c>
      <c r="I60" s="698" t="str">
        <f>[3]กรอกราคาวัสดุ!J39</f>
        <v>43.8</v>
      </c>
      <c r="J60" s="699" t="str">
        <f>[3]กรอกราคาวัสดุ!K39</f>
        <v>บาท/ตัน</v>
      </c>
      <c r="K60" s="699" t="str">
        <f>[3]กรอกราคาวัสดุ!L39</f>
        <v>รถสิบล้อ</v>
      </c>
      <c r="N60" s="739">
        <f t="shared" si="2"/>
        <v>49.5</v>
      </c>
    </row>
    <row r="61" spans="1:14" ht="12.75" customHeight="1">
      <c r="A61" s="678">
        <v>38</v>
      </c>
      <c r="B61" s="678" t="str">
        <f>[3]กรอกราคาวัสดุ!B40</f>
        <v>อำเภอเมือง มุกดาหาร</v>
      </c>
      <c r="C61" s="783" t="s">
        <v>597</v>
      </c>
      <c r="D61" s="690">
        <f>[3]กรอกราคาวัสดุ!D40</f>
        <v>500</v>
      </c>
      <c r="E61" s="697" t="str">
        <f>[3]กรอกราคาวัสดุ!E40</f>
        <v>บาท/ท่อน ขนส่ง</v>
      </c>
      <c r="F61" s="686">
        <f>[3]กรอกราคาวัสดุ!G40</f>
        <v>20</v>
      </c>
      <c r="G61" s="690" t="str">
        <f>[3]กรอกราคาวัสดุ!H40</f>
        <v xml:space="preserve">กม.     </v>
      </c>
      <c r="H61" s="686" t="str">
        <f>[3]กรอกราคาวัสดุ!I40</f>
        <v>=</v>
      </c>
      <c r="I61" s="698" t="str">
        <f>[3]กรอกราคาวัสดุ!J40</f>
        <v>43.8</v>
      </c>
      <c r="J61" s="699" t="str">
        <f>[3]กรอกราคาวัสดุ!K40</f>
        <v>บาท/ตัน</v>
      </c>
      <c r="K61" s="699" t="str">
        <f>[3]กรอกราคาวัสดุ!L40</f>
        <v>รถสิบล้อ</v>
      </c>
      <c r="N61" s="739">
        <f t="shared" si="2"/>
        <v>50.5</v>
      </c>
    </row>
    <row r="62" spans="1:14" ht="12.75" customHeight="1">
      <c r="A62" s="678">
        <v>39</v>
      </c>
      <c r="B62" s="678" t="str">
        <f>[3]กรอกราคาวัสดุ!B41</f>
        <v>อำเภอเมือง มุกดาหาร</v>
      </c>
      <c r="C62" s="783" t="s">
        <v>598</v>
      </c>
      <c r="D62" s="690">
        <f>[3]กรอกราคาวัสดุ!D41</f>
        <v>700</v>
      </c>
      <c r="E62" s="697" t="str">
        <f>[3]กรอกราคาวัสดุ!E41</f>
        <v>บาท/ท่อน ขนส่ง</v>
      </c>
      <c r="F62" s="686">
        <f>[3]กรอกราคาวัสดุ!G41</f>
        <v>20</v>
      </c>
      <c r="G62" s="690" t="str">
        <f>[3]กรอกราคาวัสดุ!H41</f>
        <v xml:space="preserve">กม.     </v>
      </c>
      <c r="H62" s="686" t="str">
        <f>[3]กรอกราคาวัสดุ!I41</f>
        <v>=</v>
      </c>
      <c r="I62" s="698" t="str">
        <f>[3]กรอกราคาวัสดุ!J41</f>
        <v>43.8</v>
      </c>
      <c r="J62" s="699" t="str">
        <f>[3]กรอกราคาวัสดุ!K41</f>
        <v>บาท/ตัน</v>
      </c>
      <c r="K62" s="699" t="str">
        <f>[3]กรอกราคาวัสดุ!L41</f>
        <v>รถสิบล้อ</v>
      </c>
    </row>
    <row r="63" spans="1:14" ht="12.75" customHeight="1">
      <c r="A63" s="678">
        <v>40</v>
      </c>
      <c r="B63" s="678" t="str">
        <f>[3]กรอกราคาวัสดุ!B42</f>
        <v>อำเภอเมือง มุกดาหาร</v>
      </c>
      <c r="C63" s="783" t="s">
        <v>599</v>
      </c>
      <c r="D63" s="690">
        <f>[3]กรอกราคาวัสดุ!D42</f>
        <v>1050</v>
      </c>
      <c r="E63" s="697" t="str">
        <f>[3]กรอกราคาวัสดุ!E42</f>
        <v>บาท/ท่อน ขนส่ง</v>
      </c>
      <c r="F63" s="686">
        <f>[3]กรอกราคาวัสดุ!G42</f>
        <v>20</v>
      </c>
      <c r="G63" s="690" t="str">
        <f>[3]กรอกราคาวัสดุ!H42</f>
        <v xml:space="preserve">กม.     </v>
      </c>
      <c r="H63" s="686" t="str">
        <f>[3]กรอกราคาวัสดุ!I42</f>
        <v>=</v>
      </c>
      <c r="I63" s="698" t="str">
        <f>[3]กรอกราคาวัสดุ!J42</f>
        <v>43.8</v>
      </c>
      <c r="J63" s="699" t="str">
        <f>[3]กรอกราคาวัสดุ!K42</f>
        <v>บาท/ตัน</v>
      </c>
      <c r="K63" s="699" t="str">
        <f>[3]กรอกราคาวัสดุ!L42</f>
        <v>รถสิบล้อ</v>
      </c>
    </row>
    <row r="64" spans="1:14" ht="12.75" customHeight="1">
      <c r="A64" s="678">
        <v>41</v>
      </c>
      <c r="B64" s="678" t="str">
        <f>[3]กรอกราคาวัสดุ!B43</f>
        <v>อำเภอเมือง มุกดาหาร</v>
      </c>
      <c r="C64" s="783" t="s">
        <v>600</v>
      </c>
      <c r="D64" s="690">
        <f>[3]กรอกราคาวัสดุ!D43</f>
        <v>1600</v>
      </c>
      <c r="E64" s="697" t="str">
        <f>[3]กรอกราคาวัสดุ!E43</f>
        <v>บาท/ท่อน ขนส่ง</v>
      </c>
      <c r="F64" s="686">
        <f>[3]กรอกราคาวัสดุ!G43</f>
        <v>20</v>
      </c>
      <c r="G64" s="690" t="str">
        <f>[3]กรอกราคาวัสดุ!H43</f>
        <v xml:space="preserve">กม.     </v>
      </c>
      <c r="H64" s="686" t="str">
        <f>[3]กรอกราคาวัสดุ!I43</f>
        <v>=</v>
      </c>
      <c r="I64" s="698" t="str">
        <f>[3]กรอกราคาวัสดุ!J43</f>
        <v>43.8</v>
      </c>
      <c r="J64" s="699" t="str">
        <f>[3]กรอกราคาวัสดุ!K43</f>
        <v>บาท/ตัน</v>
      </c>
      <c r="K64" s="699" t="str">
        <f>[3]กรอกราคาวัสดุ!L43</f>
        <v>รถสิบล้อ</v>
      </c>
    </row>
    <row r="65" spans="1:17" ht="12.75" customHeight="1">
      <c r="A65" s="678">
        <v>42</v>
      </c>
      <c r="B65" s="678" t="str">
        <f>[3]กรอกราคาวัสดุ!B44</f>
        <v>อำเภอเมือง มุกดาหาร</v>
      </c>
      <c r="C65" s="783" t="s">
        <v>601</v>
      </c>
      <c r="D65" s="690">
        <f>[3]กรอกราคาวัสดุ!D44</f>
        <v>2350</v>
      </c>
      <c r="E65" s="697" t="str">
        <f>[3]กรอกราคาวัสดุ!E44</f>
        <v>บาท/ท่อน ขนส่ง</v>
      </c>
      <c r="F65" s="686">
        <f>[3]กรอกราคาวัสดุ!G44</f>
        <v>20</v>
      </c>
      <c r="G65" s="690" t="str">
        <f>[3]กรอกราคาวัสดุ!H44</f>
        <v xml:space="preserve">กม.     </v>
      </c>
      <c r="H65" s="686" t="str">
        <f>[3]กรอกราคาวัสดุ!I44</f>
        <v>=</v>
      </c>
      <c r="I65" s="698" t="str">
        <f>[3]กรอกราคาวัสดุ!J44</f>
        <v>43.8</v>
      </c>
      <c r="J65" s="699" t="str">
        <f>[3]กรอกราคาวัสดุ!K44</f>
        <v>บาท/ตัน</v>
      </c>
      <c r="K65" s="699" t="str">
        <f>[3]กรอกราคาวัสดุ!L44</f>
        <v>รถสิบล้อ</v>
      </c>
    </row>
    <row r="66" spans="1:17" ht="12.75" customHeight="1">
      <c r="A66" s="678">
        <v>43</v>
      </c>
      <c r="B66" s="678" t="str">
        <f>[3]กรอกราคาวัสดุ!B45</f>
        <v>อำเภอเมือง มุกดาหาร</v>
      </c>
      <c r="C66" s="783" t="s">
        <v>602</v>
      </c>
      <c r="D66" s="690">
        <f>[3]กรอกราคาวัสดุ!D45</f>
        <v>2990</v>
      </c>
      <c r="E66" s="697" t="str">
        <f>[3]กรอกราคาวัสดุ!E45</f>
        <v>บาท/ท่อน ขนส่ง</v>
      </c>
      <c r="F66" s="686">
        <f>[3]กรอกราคาวัสดุ!G45</f>
        <v>20</v>
      </c>
      <c r="G66" s="690" t="str">
        <f>[3]กรอกราคาวัสดุ!H45</f>
        <v xml:space="preserve">กม.     </v>
      </c>
      <c r="H66" s="686" t="str">
        <f>[3]กรอกราคาวัสดุ!I45</f>
        <v>=</v>
      </c>
      <c r="I66" s="698" t="str">
        <f>[3]กรอกราคาวัสดุ!J45</f>
        <v>43.8</v>
      </c>
      <c r="J66" s="699" t="str">
        <f>[3]กรอกราคาวัสดุ!K45</f>
        <v>บาท/ตัน</v>
      </c>
      <c r="K66" s="699" t="str">
        <f>[3]กรอกราคาวัสดุ!L45</f>
        <v>รถสิบล้อ</v>
      </c>
    </row>
    <row r="67" spans="1:17" ht="12.75" customHeight="1">
      <c r="A67" s="678">
        <v>44</v>
      </c>
      <c r="B67" s="678" t="str">
        <f>[3]กรอกราคาวัสดุ!B46</f>
        <v>อำเภอเมือง มุกดาหาร</v>
      </c>
      <c r="C67" s="678" t="str">
        <f>[3]กรอกราคาวัสดุ!C46</f>
        <v>ลวดผูกเหล็ก</v>
      </c>
      <c r="D67" s="690">
        <f>[3]กรอกราคาวัสดุ!D46</f>
        <v>42.5</v>
      </c>
      <c r="E67" s="697" t="str">
        <f>[3]กรอกราคาวัสดุ!E46</f>
        <v>บาท/กก.</v>
      </c>
      <c r="F67" s="686"/>
      <c r="G67" s="690"/>
      <c r="H67" s="686"/>
      <c r="I67" s="698"/>
      <c r="J67" s="678"/>
    </row>
    <row r="68" spans="1:17" ht="12.75" customHeight="1">
      <c r="A68" s="678">
        <v>45</v>
      </c>
      <c r="B68" s="678" t="str">
        <f>[3]กรอกราคาวัสดุ!B47</f>
        <v>อำเภอเมือง มุกดาหาร</v>
      </c>
      <c r="C68" s="678" t="str">
        <f>[3]กรอกราคาวัสดุ!C47</f>
        <v>ไม้แบบ</v>
      </c>
      <c r="D68" s="690">
        <f>[3]กรอกราคาวัสดุ!D47</f>
        <v>580</v>
      </c>
      <c r="E68" s="697" t="str">
        <f>[3]กรอกราคาวัสดุ!E47</f>
        <v>บาท/ลบ.ฟ.</v>
      </c>
      <c r="F68" s="686"/>
      <c r="G68" s="690"/>
      <c r="H68" s="686"/>
      <c r="I68" s="698"/>
      <c r="J68" s="678"/>
    </row>
    <row r="69" spans="1:17" ht="12.75" customHeight="1">
      <c r="A69" s="678">
        <v>46</v>
      </c>
      <c r="B69" s="678" t="str">
        <f>[3]กรอกราคาวัสดุ!B48</f>
        <v>อำเภอเมือง มุกดาหาร</v>
      </c>
      <c r="C69" s="678" t="str">
        <f>[3]กรอกราคาวัสดุ!C48</f>
        <v>ไม้อัดยาง หนา 4 มม.</v>
      </c>
      <c r="D69" s="690">
        <f>[3]กรอกราคาวัสดุ!D48</f>
        <v>215</v>
      </c>
      <c r="E69" s="697" t="str">
        <f>[3]กรอกราคาวัสดุ!E48</f>
        <v>บาท/ตร.ม.</v>
      </c>
      <c r="F69" s="686"/>
      <c r="G69" s="690"/>
      <c r="H69" s="686"/>
      <c r="I69" s="698"/>
      <c r="J69" s="678"/>
    </row>
    <row r="70" spans="1:17" ht="12.75" customHeight="1">
      <c r="A70" s="678">
        <v>47</v>
      </c>
      <c r="B70" s="678" t="str">
        <f>[3]กรอกราคาวัสดุ!B49</f>
        <v>อำเภอเมือง มุกดาหาร</v>
      </c>
      <c r="C70" s="678" t="str">
        <f>[3]กรอกราคาวัสดุ!C49</f>
        <v>ไม้เคร่ารัดแบบ</v>
      </c>
      <c r="D70" s="690">
        <f>[3]กรอกราคาวัสดุ!D49</f>
        <v>250</v>
      </c>
      <c r="E70" s="697" t="str">
        <f>[3]กรอกราคาวัสดุ!E49</f>
        <v>บาท/ลบ.ฟ.</v>
      </c>
      <c r="F70" s="686"/>
      <c r="G70" s="690"/>
      <c r="H70" s="686"/>
      <c r="I70" s="698"/>
      <c r="J70" s="678"/>
    </row>
    <row r="71" spans="1:17" ht="12.75" customHeight="1">
      <c r="A71" s="678">
        <v>48</v>
      </c>
      <c r="B71" s="678" t="str">
        <f>[3]กรอกราคาวัสดุ!B50</f>
        <v>อำเภอเมือง มุกดาหาร</v>
      </c>
      <c r="C71" s="678" t="str">
        <f>[3]กรอกราคาวัสดุ!C50</f>
        <v>ไม้เนื้อแข็ง</v>
      </c>
      <c r="D71" s="690">
        <f>[3]กรอกราคาวัสดุ!D50</f>
        <v>1200</v>
      </c>
      <c r="E71" s="697" t="str">
        <f>[3]กรอกราคาวัสดุ!E50</f>
        <v>บาท/ลบ.ฟ.</v>
      </c>
      <c r="F71" s="686"/>
      <c r="G71" s="690"/>
      <c r="H71" s="686"/>
      <c r="I71" s="698"/>
      <c r="J71" s="678"/>
    </row>
    <row r="72" spans="1:17" ht="12.75" customHeight="1">
      <c r="A72" s="678">
        <v>49</v>
      </c>
      <c r="B72" s="678" t="str">
        <f>[3]กรอกราคาวัสดุ!B51</f>
        <v>อำเภอเมือง มุกดาหาร</v>
      </c>
      <c r="C72" s="678" t="str">
        <f>[3]กรอกราคาวัสดุ!C51</f>
        <v xml:space="preserve"> - ค้ำยัน 3" x  3.00 เมตร</v>
      </c>
      <c r="D72" s="690">
        <f>[3]กรอกราคาวัสดุ!D51</f>
        <v>60</v>
      </c>
      <c r="E72" s="697" t="str">
        <f>[3]กรอกราคาวัสดุ!E51</f>
        <v>บาท/ต้น</v>
      </c>
      <c r="F72" s="686"/>
      <c r="G72" s="690"/>
      <c r="H72" s="686"/>
      <c r="I72" s="698"/>
      <c r="J72" s="678"/>
    </row>
    <row r="73" spans="1:17" ht="12.75" customHeight="1">
      <c r="A73" s="678">
        <v>50</v>
      </c>
      <c r="B73" s="678" t="str">
        <f>[3]กรอกราคาวัสดุ!B52</f>
        <v>อำเภอเมือง มุกดาหาร</v>
      </c>
      <c r="C73" s="678" t="str">
        <f>[3]กรอกราคาวัสดุ!C52</f>
        <v xml:space="preserve"> - ค้ำยัน 4" x  4.00 เมตร</v>
      </c>
      <c r="D73" s="690">
        <f>[3]กรอกราคาวัสดุ!D52</f>
        <v>85</v>
      </c>
      <c r="E73" s="697" t="str">
        <f>[3]กรอกราคาวัสดุ!E52</f>
        <v>บาท/ต้น</v>
      </c>
      <c r="F73" s="686"/>
      <c r="G73" s="690"/>
      <c r="H73" s="686"/>
      <c r="I73" s="698"/>
      <c r="J73" s="678"/>
    </row>
    <row r="74" spans="1:17" ht="12.75" customHeight="1">
      <c r="A74" s="678">
        <v>51</v>
      </c>
      <c r="B74" s="678" t="str">
        <f>[3]กรอกราคาวัสดุ!B53</f>
        <v>อำเภอเมือง มุกดาหาร</v>
      </c>
      <c r="C74" s="678" t="str">
        <f>[3]กรอกราคาวัสดุ!C53</f>
        <v xml:space="preserve"> - ค้ำยัน 6" x  6.00 เมตร</v>
      </c>
      <c r="D74" s="690">
        <f>[3]กรอกราคาวัสดุ!D53</f>
        <v>160</v>
      </c>
      <c r="E74" s="697" t="str">
        <f>[3]กรอกราคาวัสดุ!E53</f>
        <v>บาท/ต้น</v>
      </c>
      <c r="F74" s="686"/>
      <c r="G74" s="690"/>
      <c r="H74" s="686"/>
      <c r="I74" s="698"/>
      <c r="J74" s="678"/>
    </row>
    <row r="75" spans="1:17" ht="12.75" customHeight="1">
      <c r="A75" s="678">
        <v>52</v>
      </c>
      <c r="B75" s="678" t="str">
        <f>[3]กรอกราคาวัสดุ!B54</f>
        <v>อำเภอเมือง มุกดาหาร</v>
      </c>
      <c r="C75" s="678" t="str">
        <f>[3]กรอกราคาวัสดุ!C54</f>
        <v>ตะปู</v>
      </c>
      <c r="D75" s="690">
        <f>[3]กรอกราคาวัสดุ!D54</f>
        <v>40</v>
      </c>
      <c r="E75" s="697" t="str">
        <f>[3]กรอกราคาวัสดุ!E54</f>
        <v>บาท/กก.</v>
      </c>
      <c r="F75" s="686"/>
      <c r="G75" s="690"/>
      <c r="H75" s="686"/>
      <c r="I75" s="698"/>
      <c r="J75" s="678"/>
    </row>
    <row r="76" spans="1:17" ht="12.75" customHeight="1">
      <c r="D76" s="690"/>
      <c r="F76" s="686"/>
      <c r="G76" s="690"/>
      <c r="H76" s="686"/>
      <c r="I76" s="698"/>
      <c r="J76" s="678"/>
    </row>
    <row r="77" spans="1:17" ht="12.75" customHeight="1">
      <c r="A77" s="784" t="str">
        <f>"รายการประมาณราคาต่อหน่วย (ราคาน้ำมันโซล่าที่ อ.เมือง "&amp;+[3]กรอกราคาวัสดุ!$L$5-0.5&amp;" - "&amp;+[3]กรอกราคาวัสดุ!$L$5+0.49&amp;"  'บาท')"&amp; "  สรุปราคาน้ำมันที่ใช้"&amp;"  "&amp;[3]กรอกราคาวัสดุ!L5&amp;"0  บาท/ลิตร"</f>
        <v>รายการประมาณราคาต่อหน่วย (ราคาน้ำมันโซล่าที่ อ.เมือง 30 - 30.99  'บาท')  สรุปราคาน้ำมันที่ใช้  30.50  บาท/ลิตร</v>
      </c>
      <c r="B77" s="785"/>
      <c r="C77" s="785"/>
      <c r="D77" s="785"/>
      <c r="E77" s="786"/>
      <c r="F77" s="785"/>
      <c r="G77" s="787"/>
      <c r="H77" s="788"/>
      <c r="I77" s="789"/>
      <c r="J77" s="790"/>
    </row>
    <row r="78" spans="1:17" ht="12.75" customHeight="1">
      <c r="A78" s="791" t="str">
        <f>IF([3]เมนู!$S$10=2,"พื้นที่ฝนตกชุก","พื้นที่ปกติ")</f>
        <v>พื้นที่ปกติ</v>
      </c>
      <c r="C78" s="792"/>
      <c r="H78" s="698"/>
    </row>
    <row r="79" spans="1:17" ht="12.75" customHeight="1">
      <c r="A79" s="688" t="s">
        <v>603</v>
      </c>
      <c r="C79" s="793" t="str">
        <f>IF([3]กรอกราคาวัสดุ!$G$6=2,"(ขนาดกลาง)",IF([3]กรอกราคาวัสดุ!$G$6=3,"(ขนาดหนัก)","(ขนาดเบา)"))</f>
        <v>(ขนาดเบา)</v>
      </c>
      <c r="H79" s="698"/>
      <c r="P79" s="680"/>
    </row>
    <row r="80" spans="1:17" ht="12.75" customHeight="1">
      <c r="B80" s="678" t="s">
        <v>604</v>
      </c>
      <c r="F80" s="678" t="s">
        <v>605</v>
      </c>
      <c r="H80" s="686" t="s">
        <v>10</v>
      </c>
      <c r="I80" s="794">
        <f>IF(AND([3]เมนู!$S$10=1,[3]กรอกราคาวัสดุ!$G$6=1),[3]ค่าเสื่อมราคา!G7,
IF(AND([3]เมนู!$S$10=1,[3]กรอกราคาวัสดุ!$G$6=2),[3]ค่าเสื่อมราคา!G8,
IF(AND([3]เมนู!$S$10=1,[3]กรอกราคาวัสดุ!$G$6=3),[3]ค่าเสื่อมราคา!G9,
IF(AND([3]เมนู!$S$10=2,[3]กรอกราคาวัสดุ!$G$6=1),[3]ค่าเสื่อมราคา!H7,
IF(AND([3]เมนู!$S$10=2,[3]กรอกราคาวัสดุ!$G$6=2),[3]ค่าเสื่อมราคา!H8,
IF(AND([3]เมนู!$S$10=2,[3]กรอกราคาวัสดุ!$G$6=3),[3]ค่าเสื่อมราคา!H9))))))</f>
        <v>1.46</v>
      </c>
      <c r="J80" s="686" t="s">
        <v>39</v>
      </c>
      <c r="L80" s="690"/>
      <c r="N80" s="795"/>
      <c r="O80" s="795"/>
      <c r="P80" s="795"/>
      <c r="Q80" s="690"/>
    </row>
    <row r="81" spans="1:17" ht="12.75" customHeight="1">
      <c r="A81" s="688" t="s">
        <v>606</v>
      </c>
      <c r="H81" s="686"/>
      <c r="I81" s="796"/>
      <c r="J81" s="686"/>
      <c r="L81" s="690"/>
      <c r="N81" s="795"/>
      <c r="O81" s="795"/>
      <c r="P81" s="795"/>
      <c r="Q81" s="690"/>
    </row>
    <row r="82" spans="1:17" ht="12.75" customHeight="1">
      <c r="B82" s="678" t="s">
        <v>607</v>
      </c>
      <c r="F82" s="678" t="s">
        <v>605</v>
      </c>
      <c r="H82" s="686" t="s">
        <v>10</v>
      </c>
      <c r="I82" s="797">
        <f>IF([3]เมนู!$S$10=2,[3]ค่าเสื่อมราคา!H32,[3]ค่าเสื่อมราคา!G32)</f>
        <v>9.08</v>
      </c>
      <c r="J82" s="686" t="s">
        <v>39</v>
      </c>
      <c r="L82" s="690"/>
      <c r="N82" s="795"/>
      <c r="O82" s="795"/>
      <c r="P82" s="795"/>
      <c r="Q82" s="690"/>
    </row>
    <row r="83" spans="1:17" ht="12.75" customHeight="1">
      <c r="A83" s="688" t="s">
        <v>608</v>
      </c>
      <c r="H83" s="686"/>
      <c r="I83" s="796"/>
      <c r="J83" s="686"/>
      <c r="P83" s="680"/>
    </row>
    <row r="84" spans="1:17" ht="12.75" customHeight="1">
      <c r="B84" s="678" t="s">
        <v>609</v>
      </c>
      <c r="F84" s="678" t="s">
        <v>610</v>
      </c>
      <c r="H84" s="686" t="s">
        <v>10</v>
      </c>
      <c r="I84" s="796">
        <f>ROUND(IF([3]เมนู!$S$10=2,[3]ค่าเสื่อมราคา!H30,[3]ค่าเสื่อมราคา!G30),2)</f>
        <v>7.17</v>
      </c>
      <c r="J84" s="686" t="s">
        <v>39</v>
      </c>
      <c r="O84" s="798"/>
      <c r="P84" s="680"/>
    </row>
    <row r="85" spans="1:17" ht="12.75" customHeight="1">
      <c r="B85" s="678" t="s">
        <v>611</v>
      </c>
      <c r="F85" s="678" t="s">
        <v>610</v>
      </c>
      <c r="H85" s="686" t="s">
        <v>10</v>
      </c>
      <c r="I85" s="796">
        <f>IF([3]เมนู!$S$10=2,[3]ค่าเสื่อมราคา!H12,[3]ค่าเสื่อมราคา!G12)</f>
        <v>39.01</v>
      </c>
      <c r="J85" s="686" t="s">
        <v>39</v>
      </c>
      <c r="O85" s="798"/>
      <c r="P85" s="680"/>
    </row>
    <row r="86" spans="1:17" ht="12.75" customHeight="1">
      <c r="B86" s="678" t="s">
        <v>612</v>
      </c>
      <c r="F86" s="678" t="s">
        <v>610</v>
      </c>
      <c r="H86" s="686" t="s">
        <v>10</v>
      </c>
      <c r="I86" s="799">
        <f>ROUND(SUM(I84:I85),2)</f>
        <v>46.18</v>
      </c>
      <c r="J86" s="686" t="s">
        <v>39</v>
      </c>
      <c r="O86" s="798"/>
      <c r="P86" s="680"/>
    </row>
    <row r="87" spans="1:17" ht="12.75" customHeight="1">
      <c r="A87" s="688" t="s">
        <v>613</v>
      </c>
      <c r="H87" s="686"/>
      <c r="I87" s="796"/>
      <c r="J87" s="686"/>
      <c r="P87" s="680"/>
    </row>
    <row r="88" spans="1:17" ht="12.75" customHeight="1">
      <c r="A88" s="800" t="s">
        <v>614</v>
      </c>
      <c r="C88" s="793" t="str">
        <f>"ขนส่งด้วย"&amp;[3]กรอกราคาวัสดุ!L9</f>
        <v>ขนส่งด้วยรถสิบล้อ</v>
      </c>
      <c r="D88" s="801"/>
      <c r="F88" s="793"/>
      <c r="H88" s="686"/>
      <c r="I88" s="796"/>
      <c r="J88" s="686"/>
      <c r="P88" s="680"/>
    </row>
    <row r="89" spans="1:17" ht="12.75" customHeight="1">
      <c r="A89" s="800"/>
      <c r="B89" s="802" t="s">
        <v>615</v>
      </c>
      <c r="C89" s="802"/>
      <c r="D89" s="802"/>
      <c r="E89" s="803"/>
      <c r="F89" s="802" t="s">
        <v>610</v>
      </c>
      <c r="H89" s="686" t="s">
        <v>10</v>
      </c>
      <c r="I89" s="796">
        <f>IF([3]เมนู!$S$10=2,[3]ค่าเสื่อมราคา!H15,[3]ค่าเสื่อมราคา!G15)</f>
        <v>8.2799999999999994</v>
      </c>
      <c r="J89" s="686" t="s">
        <v>39</v>
      </c>
      <c r="P89" s="680"/>
    </row>
    <row r="90" spans="1:17" ht="12.75" customHeight="1">
      <c r="B90" s="804" t="s">
        <v>616</v>
      </c>
      <c r="E90" s="686">
        <f>F8</f>
        <v>1</v>
      </c>
      <c r="F90" s="678" t="s">
        <v>37</v>
      </c>
      <c r="H90" s="686" t="s">
        <v>10</v>
      </c>
      <c r="I90" s="805">
        <f>I8</f>
        <v>8.93</v>
      </c>
      <c r="J90" s="686" t="s">
        <v>39</v>
      </c>
      <c r="L90" s="690"/>
      <c r="O90" s="795"/>
      <c r="P90" s="680"/>
    </row>
    <row r="91" spans="1:17" ht="12.75" customHeight="1">
      <c r="B91" s="678" t="s">
        <v>617</v>
      </c>
      <c r="H91" s="686"/>
      <c r="I91" s="805">
        <f>SUM(I89:I90)</f>
        <v>17.21</v>
      </c>
      <c r="J91" s="686" t="s">
        <v>39</v>
      </c>
      <c r="L91" s="690"/>
      <c r="P91" s="680"/>
    </row>
    <row r="92" spans="1:17" ht="12.75" customHeight="1">
      <c r="B92" s="804" t="s">
        <v>618</v>
      </c>
      <c r="H92" s="686"/>
      <c r="I92" s="806">
        <f>ROUND(I91*1.25,2)</f>
        <v>21.51</v>
      </c>
      <c r="J92" s="686" t="s">
        <v>39</v>
      </c>
      <c r="L92" s="690"/>
      <c r="O92" s="795"/>
      <c r="P92" s="680"/>
    </row>
    <row r="93" spans="1:17" ht="12.75" customHeight="1">
      <c r="B93" s="802" t="s">
        <v>619</v>
      </c>
      <c r="C93" s="802"/>
      <c r="D93" s="802"/>
      <c r="E93" s="803"/>
      <c r="F93" s="802" t="s">
        <v>610</v>
      </c>
      <c r="H93" s="686" t="s">
        <v>10</v>
      </c>
      <c r="I93" s="796">
        <f>ROUND(IF([3]กรอกราคาวัสดุ!C6=2,[3]ค่าเสื่อมราคา!H14,[3]ค่าเสื่อมราคา!G14),2)</f>
        <v>20.78</v>
      </c>
      <c r="J93" s="686" t="s">
        <v>39</v>
      </c>
    </row>
    <row r="94" spans="1:17" ht="12.75" customHeight="1">
      <c r="B94" s="804" t="s">
        <v>620</v>
      </c>
      <c r="F94" s="678" t="s">
        <v>610</v>
      </c>
      <c r="H94" s="686"/>
      <c r="I94" s="799">
        <f>ROUND(SUM(I92:I93),2)</f>
        <v>42.29</v>
      </c>
      <c r="J94" s="686" t="s">
        <v>39</v>
      </c>
      <c r="O94" s="795"/>
    </row>
    <row r="95" spans="1:17" ht="12.75" customHeight="1">
      <c r="A95" s="800" t="s">
        <v>621</v>
      </c>
      <c r="H95" s="686"/>
      <c r="I95" s="796"/>
      <c r="J95" s="686"/>
      <c r="N95" s="678"/>
      <c r="O95" s="678"/>
    </row>
    <row r="96" spans="1:17" ht="12.75" customHeight="1">
      <c r="B96" s="802" t="s">
        <v>615</v>
      </c>
      <c r="C96" s="802"/>
      <c r="D96" s="802"/>
      <c r="E96" s="803"/>
      <c r="F96" s="802" t="s">
        <v>610</v>
      </c>
      <c r="H96" s="686" t="s">
        <v>10</v>
      </c>
      <c r="I96" s="796">
        <f>IF([3]เมนู!$S$10=2,[3]ค่าเสื่อมราคา!H17,[3]ค่าเสื่อมราคา!G17)</f>
        <v>38.85</v>
      </c>
      <c r="J96" s="686" t="s">
        <v>39</v>
      </c>
      <c r="N96" s="678"/>
      <c r="O96" s="678"/>
    </row>
    <row r="97" spans="1:15" ht="12.75" customHeight="1">
      <c r="B97" s="678" t="s">
        <v>622</v>
      </c>
      <c r="E97" s="686">
        <f>F8</f>
        <v>1</v>
      </c>
      <c r="F97" s="678" t="s">
        <v>37</v>
      </c>
      <c r="H97" s="686" t="s">
        <v>10</v>
      </c>
      <c r="I97" s="805">
        <f>I8</f>
        <v>8.93</v>
      </c>
      <c r="J97" s="686" t="s">
        <v>39</v>
      </c>
      <c r="L97" s="690"/>
      <c r="N97" s="678"/>
      <c r="O97" s="678"/>
    </row>
    <row r="98" spans="1:15" ht="12.75" customHeight="1">
      <c r="B98" s="678" t="s">
        <v>617</v>
      </c>
      <c r="H98" s="686"/>
      <c r="I98" s="805">
        <f>SUM(I96:I97)</f>
        <v>47.78</v>
      </c>
      <c r="J98" s="686" t="s">
        <v>39</v>
      </c>
      <c r="L98" s="690"/>
      <c r="N98" s="678"/>
      <c r="O98" s="678"/>
    </row>
    <row r="99" spans="1:15" ht="12.75" customHeight="1">
      <c r="B99" s="804" t="s">
        <v>623</v>
      </c>
      <c r="H99" s="686"/>
      <c r="I99" s="806">
        <f>ROUND(I98*1.6,2)</f>
        <v>76.45</v>
      </c>
      <c r="J99" s="686" t="s">
        <v>39</v>
      </c>
      <c r="L99" s="690"/>
      <c r="N99" s="678"/>
      <c r="O99" s="678"/>
    </row>
    <row r="100" spans="1:15" ht="12.75" customHeight="1">
      <c r="B100" s="802" t="s">
        <v>619</v>
      </c>
      <c r="C100" s="802"/>
      <c r="D100" s="802"/>
      <c r="E100" s="803"/>
      <c r="F100" s="802" t="s">
        <v>610</v>
      </c>
      <c r="H100" s="686" t="s">
        <v>10</v>
      </c>
      <c r="I100" s="796">
        <f>ROUND(IF([3]เมนู!$S$10=2,[3]ค่าเสื่อมราคา!H16,[3]ค่าเสื่อมราคา!G16),2)</f>
        <v>32.28</v>
      </c>
      <c r="J100" s="686" t="s">
        <v>39</v>
      </c>
    </row>
    <row r="101" spans="1:15" ht="12.75" customHeight="1">
      <c r="B101" s="804" t="s">
        <v>620</v>
      </c>
      <c r="F101" s="678" t="s">
        <v>610</v>
      </c>
      <c r="H101" s="686"/>
      <c r="I101" s="799">
        <f>ROUND(SUM(I99:I100),2)</f>
        <v>108.73</v>
      </c>
      <c r="J101" s="686" t="s">
        <v>39</v>
      </c>
    </row>
    <row r="102" spans="1:15" ht="12.75" customHeight="1">
      <c r="A102" s="800" t="s">
        <v>624</v>
      </c>
      <c r="H102" s="686"/>
      <c r="I102" s="796"/>
      <c r="J102" s="686"/>
    </row>
    <row r="103" spans="1:15" ht="12.75" customHeight="1">
      <c r="B103" s="802" t="s">
        <v>615</v>
      </c>
      <c r="C103" s="802"/>
      <c r="D103" s="802"/>
      <c r="E103" s="803"/>
      <c r="F103" s="802" t="s">
        <v>610</v>
      </c>
      <c r="H103" s="686" t="s">
        <v>10</v>
      </c>
      <c r="I103" s="796">
        <f>ROUND(IF([3]เมนู!$S$10=2,[3]ค่าเสื่อมราคา!H19,[3]ค่าเสื่อมราคา!G19),2)</f>
        <v>76.42</v>
      </c>
      <c r="J103" s="686" t="s">
        <v>39</v>
      </c>
    </row>
    <row r="104" spans="1:15" ht="12.75" customHeight="1">
      <c r="B104" s="678" t="s">
        <v>622</v>
      </c>
      <c r="E104" s="686">
        <f>F8</f>
        <v>1</v>
      </c>
      <c r="F104" s="678" t="s">
        <v>37</v>
      </c>
      <c r="H104" s="686" t="s">
        <v>10</v>
      </c>
      <c r="I104" s="805">
        <f>I8</f>
        <v>8.93</v>
      </c>
      <c r="J104" s="686" t="s">
        <v>39</v>
      </c>
      <c r="L104" s="690"/>
    </row>
    <row r="105" spans="1:15" ht="12.75" customHeight="1">
      <c r="B105" s="678" t="s">
        <v>617</v>
      </c>
      <c r="H105" s="686"/>
      <c r="I105" s="805">
        <f>SUM(I103:I104)</f>
        <v>85.35</v>
      </c>
      <c r="J105" s="686" t="s">
        <v>39</v>
      </c>
      <c r="L105" s="690"/>
    </row>
    <row r="106" spans="1:15" ht="12.75" customHeight="1">
      <c r="B106" s="804" t="s">
        <v>625</v>
      </c>
      <c r="H106" s="686"/>
      <c r="I106" s="806">
        <f>ROUND(I105*1.7,2)</f>
        <v>145.1</v>
      </c>
      <c r="J106" s="686" t="s">
        <v>39</v>
      </c>
      <c r="L106" s="690"/>
    </row>
    <row r="107" spans="1:15" ht="12.75" customHeight="1">
      <c r="B107" s="802" t="s">
        <v>619</v>
      </c>
      <c r="C107" s="802"/>
      <c r="D107" s="802"/>
      <c r="E107" s="803"/>
      <c r="F107" s="802" t="s">
        <v>610</v>
      </c>
      <c r="H107" s="686" t="s">
        <v>10</v>
      </c>
      <c r="I107" s="796">
        <f>ROUND(IF([3]เมนู!$S$10=2,[3]ค่าเสื่อมราคา!H18,[3]ค่าเสื่อมราคา!G18),2)</f>
        <v>55.01</v>
      </c>
      <c r="J107" s="686" t="s">
        <v>39</v>
      </c>
    </row>
    <row r="108" spans="1:15" ht="12.75" customHeight="1">
      <c r="B108" s="804" t="s">
        <v>620</v>
      </c>
      <c r="F108" s="678" t="s">
        <v>610</v>
      </c>
      <c r="H108" s="686"/>
      <c r="I108" s="799">
        <f>ROUND(SUM(I106:I107),2)</f>
        <v>200.11</v>
      </c>
      <c r="J108" s="686" t="s">
        <v>39</v>
      </c>
    </row>
    <row r="109" spans="1:15" ht="12.75" customHeight="1">
      <c r="A109" s="688" t="s">
        <v>626</v>
      </c>
      <c r="B109" s="804"/>
      <c r="H109" s="686"/>
      <c r="I109" s="806"/>
      <c r="J109" s="686"/>
    </row>
    <row r="110" spans="1:15" ht="12.75" customHeight="1">
      <c r="A110" s="688" t="s">
        <v>627</v>
      </c>
      <c r="B110" s="804"/>
      <c r="H110" s="686"/>
      <c r="I110" s="806"/>
      <c r="J110" s="686"/>
    </row>
    <row r="111" spans="1:15" ht="12.75" customHeight="1">
      <c r="B111" s="678" t="s">
        <v>628</v>
      </c>
      <c r="F111" s="678" t="s">
        <v>610</v>
      </c>
      <c r="H111" s="686" t="s">
        <v>10</v>
      </c>
      <c r="I111" s="796">
        <f>D50</f>
        <v>250</v>
      </c>
      <c r="J111" s="686" t="s">
        <v>39</v>
      </c>
    </row>
    <row r="112" spans="1:15" ht="12.75" customHeight="1">
      <c r="B112" s="678" t="s">
        <v>629</v>
      </c>
      <c r="F112" s="678" t="s">
        <v>610</v>
      </c>
      <c r="H112" s="686" t="s">
        <v>10</v>
      </c>
      <c r="I112" s="796">
        <f>ROUND(IF([3]เมนู!$S$10=2,[3]ค่าเสื่อมราคา!H11,[3]ค่าเสื่อมราคา!G11),2)</f>
        <v>21.67</v>
      </c>
      <c r="J112" s="686" t="s">
        <v>39</v>
      </c>
    </row>
    <row r="113" spans="1:11" ht="12.75" customHeight="1">
      <c r="B113" s="678" t="s">
        <v>630</v>
      </c>
      <c r="E113" s="686">
        <f>F50</f>
        <v>20</v>
      </c>
      <c r="F113" s="678" t="s">
        <v>37</v>
      </c>
      <c r="H113" s="686" t="s">
        <v>10</v>
      </c>
      <c r="I113" s="807">
        <f>I50</f>
        <v>61.32</v>
      </c>
      <c r="J113" s="686" t="s">
        <v>39</v>
      </c>
    </row>
    <row r="114" spans="1:11" ht="12.75" customHeight="1">
      <c r="B114" s="678" t="s">
        <v>617</v>
      </c>
      <c r="H114" s="686"/>
      <c r="I114" s="805">
        <f>SUM(I111:I113)</f>
        <v>332.99</v>
      </c>
      <c r="J114" s="686" t="s">
        <v>39</v>
      </c>
    </row>
    <row r="115" spans="1:11" ht="12.75" customHeight="1">
      <c r="B115" s="678" t="s">
        <v>631</v>
      </c>
      <c r="H115" s="686" t="s">
        <v>10</v>
      </c>
      <c r="I115" s="796">
        <f>ROUND(I114*1.2,2)</f>
        <v>399.59</v>
      </c>
      <c r="J115" s="686" t="s">
        <v>39</v>
      </c>
    </row>
    <row r="116" spans="1:11" ht="12.75" customHeight="1">
      <c r="B116" s="678" t="s">
        <v>632</v>
      </c>
      <c r="H116" s="686" t="s">
        <v>10</v>
      </c>
      <c r="I116" s="796">
        <f>ROUND(IF([3]เมนู!$S$10=2,[3]ค่าเสื่อมราคา!H12,[3]ค่าเสื่อมราคา!G12),2)</f>
        <v>39.01</v>
      </c>
      <c r="J116" s="686" t="s">
        <v>39</v>
      </c>
    </row>
    <row r="117" spans="1:11" ht="12.75" customHeight="1">
      <c r="B117" s="678" t="s">
        <v>633</v>
      </c>
      <c r="F117" s="678" t="s">
        <v>610</v>
      </c>
      <c r="H117" s="686" t="s">
        <v>10</v>
      </c>
      <c r="I117" s="797">
        <f>IF(E113=0,0,SUM(I115:I116))</f>
        <v>438.59999999999997</v>
      </c>
      <c r="J117" s="686" t="s">
        <v>39</v>
      </c>
    </row>
    <row r="118" spans="1:11" ht="12.75" customHeight="1">
      <c r="A118" s="688" t="s">
        <v>634</v>
      </c>
      <c r="D118" s="793" t="str">
        <f>"ขนส่งด้วย"&amp;[3]กรอกราคาวัสดุ!L10</f>
        <v>ขนส่งด้วยรถสิบล้อ</v>
      </c>
      <c r="E118" s="808"/>
      <c r="F118" s="793"/>
      <c r="H118" s="686"/>
      <c r="I118" s="796"/>
      <c r="J118" s="686"/>
    </row>
    <row r="119" spans="1:11" ht="12.75" customHeight="1">
      <c r="B119" s="678" t="s">
        <v>628</v>
      </c>
      <c r="F119" s="678" t="s">
        <v>610</v>
      </c>
      <c r="H119" s="686" t="s">
        <v>10</v>
      </c>
      <c r="I119" s="796">
        <f>D9</f>
        <v>5</v>
      </c>
      <c r="J119" s="686" t="s">
        <v>39</v>
      </c>
    </row>
    <row r="120" spans="1:11" ht="12.75" customHeight="1">
      <c r="B120" s="678" t="s">
        <v>629</v>
      </c>
      <c r="F120" s="678" t="s">
        <v>610</v>
      </c>
      <c r="H120" s="686" t="s">
        <v>10</v>
      </c>
      <c r="I120" s="796">
        <f>ROUND(IF([3]เมนู!$S$10=2,[3]ค่าเสื่อมราคา!H11,[3]ค่าเสื่อมราคา!G11),2)</f>
        <v>21.67</v>
      </c>
      <c r="J120" s="686" t="s">
        <v>39</v>
      </c>
    </row>
    <row r="121" spans="1:11" ht="12.75" customHeight="1">
      <c r="B121" s="678" t="s">
        <v>630</v>
      </c>
      <c r="E121" s="686">
        <f>F9</f>
        <v>1</v>
      </c>
      <c r="F121" s="678" t="s">
        <v>37</v>
      </c>
      <c r="H121" s="686" t="s">
        <v>10</v>
      </c>
      <c r="I121" s="796">
        <f>I9</f>
        <v>8.93</v>
      </c>
      <c r="J121" s="686" t="s">
        <v>39</v>
      </c>
    </row>
    <row r="122" spans="1:11" ht="12.75" customHeight="1">
      <c r="B122" s="678" t="s">
        <v>617</v>
      </c>
      <c r="H122" s="686"/>
      <c r="I122" s="805">
        <f>SUM(I119:I121)</f>
        <v>35.6</v>
      </c>
      <c r="J122" s="686" t="s">
        <v>39</v>
      </c>
    </row>
    <row r="123" spans="1:11" ht="12.75" customHeight="1">
      <c r="B123" s="678" t="s">
        <v>635</v>
      </c>
      <c r="H123" s="686" t="s">
        <v>10</v>
      </c>
      <c r="I123" s="796">
        <f>ROUND(I122*1.6,2)</f>
        <v>56.96</v>
      </c>
      <c r="J123" s="686" t="s">
        <v>39</v>
      </c>
      <c r="K123" s="809"/>
    </row>
    <row r="124" spans="1:11" ht="12.75" customHeight="1">
      <c r="B124" s="678" t="s">
        <v>632</v>
      </c>
      <c r="H124" s="686" t="s">
        <v>10</v>
      </c>
      <c r="I124" s="796">
        <f>ROUND(IF([3]เมนู!$S$10=2,[3]ค่าเสื่อมราคา!H12,[3]ค่าเสื่อมราคา!G12),2)</f>
        <v>39.01</v>
      </c>
      <c r="J124" s="686" t="s">
        <v>39</v>
      </c>
    </row>
    <row r="125" spans="1:11" ht="12.75" customHeight="1">
      <c r="B125" s="678" t="s">
        <v>633</v>
      </c>
      <c r="F125" s="678" t="s">
        <v>610</v>
      </c>
      <c r="H125" s="686" t="s">
        <v>10</v>
      </c>
      <c r="I125" s="797">
        <f>IF(E121=0,0,SUM(I123:I124))</f>
        <v>95.97</v>
      </c>
      <c r="J125" s="686" t="s">
        <v>39</v>
      </c>
    </row>
    <row r="126" spans="1:11" ht="12.75" customHeight="1">
      <c r="A126" s="688" t="s">
        <v>636</v>
      </c>
      <c r="D126" s="678" t="s">
        <v>637</v>
      </c>
      <c r="H126" s="686"/>
      <c r="I126" s="796"/>
      <c r="J126" s="686"/>
    </row>
    <row r="127" spans="1:11" ht="12.75" customHeight="1">
      <c r="B127" s="678" t="s">
        <v>632</v>
      </c>
      <c r="H127" s="686" t="s">
        <v>10</v>
      </c>
      <c r="I127" s="796">
        <f>ROUND(IF([3]เมนู!$S$10=2,[3]ค่าเสื่อมราคา!H12,[3]ค่าเสื่อมราคา!G12),2)</f>
        <v>39.01</v>
      </c>
      <c r="J127" s="686" t="s">
        <v>39</v>
      </c>
    </row>
    <row r="128" spans="1:11" ht="12.75" customHeight="1">
      <c r="B128" s="678" t="s">
        <v>638</v>
      </c>
      <c r="F128" s="678" t="s">
        <v>610</v>
      </c>
      <c r="H128" s="686" t="s">
        <v>10</v>
      </c>
      <c r="I128" s="797">
        <f>I127</f>
        <v>39.01</v>
      </c>
      <c r="J128" s="686" t="s">
        <v>39</v>
      </c>
    </row>
    <row r="129" spans="1:16" ht="12.75" customHeight="1">
      <c r="A129" s="688" t="s">
        <v>639</v>
      </c>
      <c r="C129" s="793" t="str">
        <f>"ขนส่งด้วย"&amp;[3]กรอกราคาวัสดุ!L11</f>
        <v>ขนส่งด้วยรถสิบล้อ</v>
      </c>
      <c r="D129" s="801"/>
      <c r="E129" s="810"/>
      <c r="H129" s="698"/>
      <c r="I129" s="811"/>
    </row>
    <row r="130" spans="1:16" ht="12.75" customHeight="1">
      <c r="B130" s="678" t="s">
        <v>628</v>
      </c>
      <c r="F130" s="678" t="s">
        <v>610</v>
      </c>
      <c r="H130" s="686" t="s">
        <v>10</v>
      </c>
      <c r="I130" s="807">
        <f>D10</f>
        <v>10</v>
      </c>
      <c r="J130" s="686" t="s">
        <v>39</v>
      </c>
      <c r="K130" s="691" t="s">
        <v>640</v>
      </c>
      <c r="M130" s="678"/>
      <c r="N130" s="679"/>
      <c r="P130" s="680"/>
    </row>
    <row r="131" spans="1:16" ht="12.75" customHeight="1">
      <c r="B131" s="678" t="s">
        <v>629</v>
      </c>
      <c r="F131" s="678" t="s">
        <v>610</v>
      </c>
      <c r="H131" s="686" t="s">
        <v>10</v>
      </c>
      <c r="I131" s="807">
        <f>ROUND(IF([3]เมนู!$S$10=2,[3]ค่าเสื่อมราคา!H21,[3]ค่าเสื่อมราคา!G21),2)</f>
        <v>31.65</v>
      </c>
      <c r="J131" s="686" t="s">
        <v>39</v>
      </c>
      <c r="K131" s="691"/>
      <c r="M131" s="678"/>
      <c r="N131" s="679"/>
      <c r="P131" s="680"/>
    </row>
    <row r="132" spans="1:16" ht="12.75" customHeight="1">
      <c r="B132" s="678" t="s">
        <v>630</v>
      </c>
      <c r="E132" s="686">
        <f>F10</f>
        <v>1</v>
      </c>
      <c r="F132" s="678" t="s">
        <v>37</v>
      </c>
      <c r="H132" s="686" t="s">
        <v>10</v>
      </c>
      <c r="I132" s="807">
        <f>I10</f>
        <v>8.93</v>
      </c>
      <c r="J132" s="686" t="s">
        <v>39</v>
      </c>
      <c r="K132" s="691"/>
      <c r="M132" s="678"/>
      <c r="N132" s="679"/>
      <c r="P132" s="680"/>
    </row>
    <row r="133" spans="1:16" ht="12.75" customHeight="1">
      <c r="B133" s="678" t="s">
        <v>617</v>
      </c>
      <c r="H133" s="686" t="s">
        <v>10</v>
      </c>
      <c r="I133" s="807">
        <f>SUM(I130:I132)</f>
        <v>50.58</v>
      </c>
      <c r="J133" s="686" t="s">
        <v>39</v>
      </c>
      <c r="K133" s="691"/>
      <c r="M133" s="678"/>
      <c r="N133" s="679"/>
      <c r="P133" s="680"/>
    </row>
    <row r="134" spans="1:16" ht="12.75" customHeight="1">
      <c r="B134" s="678" t="s">
        <v>641</v>
      </c>
      <c r="H134" s="686" t="s">
        <v>10</v>
      </c>
      <c r="I134" s="807">
        <f>ROUND(+I133*1.6,2)</f>
        <v>80.930000000000007</v>
      </c>
      <c r="J134" s="686" t="s">
        <v>39</v>
      </c>
      <c r="K134" s="691"/>
      <c r="M134" s="678"/>
      <c r="N134" s="679"/>
      <c r="P134" s="680"/>
    </row>
    <row r="135" spans="1:16" ht="12.75" customHeight="1">
      <c r="B135" s="678" t="s">
        <v>632</v>
      </c>
      <c r="H135" s="686" t="s">
        <v>10</v>
      </c>
      <c r="I135" s="807">
        <f>ROUND(IF([3]เมนู!$S$10=2,[3]ค่าเสื่อมราคา!H23,[3]ค่าเสื่อมราคา!G23),2)</f>
        <v>46.81</v>
      </c>
      <c r="J135" s="686" t="s">
        <v>39</v>
      </c>
      <c r="K135" s="691"/>
      <c r="M135" s="678"/>
      <c r="N135" s="679"/>
      <c r="P135" s="680"/>
    </row>
    <row r="136" spans="1:16" ht="12.75" customHeight="1">
      <c r="B136" s="678" t="s">
        <v>633</v>
      </c>
      <c r="F136" s="678" t="s">
        <v>610</v>
      </c>
      <c r="H136" s="686" t="s">
        <v>10</v>
      </c>
      <c r="I136" s="812">
        <f>IF(E132=0,0,SUM(I134:I135))</f>
        <v>127.74000000000001</v>
      </c>
      <c r="J136" s="686" t="s">
        <v>39</v>
      </c>
      <c r="K136" s="691" t="s">
        <v>642</v>
      </c>
      <c r="M136" s="678"/>
      <c r="N136" s="679"/>
      <c r="P136" s="680"/>
    </row>
    <row r="137" spans="1:16" ht="12.75" customHeight="1">
      <c r="A137" s="688" t="s">
        <v>643</v>
      </c>
      <c r="C137" s="793" t="str">
        <f>"ขนส่งด้วย"&amp;[3]กรอกราคาวัสดุ!$L$12</f>
        <v>ขนส่งด้วยรถสิบล้อ</v>
      </c>
      <c r="D137" s="801"/>
      <c r="E137" s="810"/>
      <c r="H137" s="686"/>
      <c r="I137" s="807"/>
      <c r="J137" s="686"/>
      <c r="K137" s="691"/>
      <c r="M137" s="678"/>
      <c r="N137" s="679"/>
      <c r="P137" s="680"/>
    </row>
    <row r="138" spans="1:16" ht="12.75" customHeight="1">
      <c r="A138" s="688" t="s">
        <v>644</v>
      </c>
      <c r="D138" s="801"/>
      <c r="E138" s="810"/>
      <c r="H138" s="686"/>
      <c r="I138" s="807"/>
      <c r="J138" s="686"/>
      <c r="K138" s="691"/>
      <c r="M138" s="678"/>
      <c r="N138" s="679"/>
      <c r="P138" s="680"/>
    </row>
    <row r="139" spans="1:16" ht="12.75" customHeight="1">
      <c r="B139" s="678" t="s">
        <v>628</v>
      </c>
      <c r="F139" s="678" t="s">
        <v>610</v>
      </c>
      <c r="H139" s="686" t="s">
        <v>10</v>
      </c>
      <c r="I139" s="807">
        <f>$D$11</f>
        <v>15</v>
      </c>
      <c r="J139" s="686" t="s">
        <v>39</v>
      </c>
      <c r="K139" s="691" t="s">
        <v>640</v>
      </c>
      <c r="M139" s="678"/>
      <c r="N139" s="679"/>
      <c r="P139" s="680"/>
    </row>
    <row r="140" spans="1:16" ht="12.75" customHeight="1">
      <c r="B140" s="678" t="s">
        <v>629</v>
      </c>
      <c r="F140" s="678" t="s">
        <v>610</v>
      </c>
      <c r="H140" s="686" t="s">
        <v>10</v>
      </c>
      <c r="I140" s="807">
        <f>ROUND(IF([3]เมนู!$S$10=2,[3]ค่าเสื่อมราคา!$H$21,[3]ค่าเสื่อมราคา!$G$21),2)</f>
        <v>31.65</v>
      </c>
      <c r="J140" s="686" t="s">
        <v>39</v>
      </c>
      <c r="K140" s="691"/>
      <c r="M140" s="678"/>
      <c r="N140" s="679"/>
      <c r="P140" s="680"/>
    </row>
    <row r="141" spans="1:16" ht="12.75" customHeight="1">
      <c r="B141" s="678" t="s">
        <v>630</v>
      </c>
      <c r="E141" s="686">
        <f>$F$11</f>
        <v>1</v>
      </c>
      <c r="F141" s="678" t="s">
        <v>37</v>
      </c>
      <c r="H141" s="686" t="s">
        <v>10</v>
      </c>
      <c r="I141" s="807">
        <f>$I$11</f>
        <v>8.93</v>
      </c>
      <c r="J141" s="686" t="s">
        <v>39</v>
      </c>
      <c r="K141" s="691"/>
      <c r="M141" s="678"/>
      <c r="N141" s="679"/>
      <c r="P141" s="680"/>
    </row>
    <row r="142" spans="1:16" ht="12.75" customHeight="1">
      <c r="B142" s="678" t="s">
        <v>617</v>
      </c>
      <c r="H142" s="686" t="s">
        <v>10</v>
      </c>
      <c r="I142" s="807">
        <f>SUM(I139:I141)</f>
        <v>55.58</v>
      </c>
      <c r="J142" s="686" t="s">
        <v>39</v>
      </c>
      <c r="K142" s="691"/>
      <c r="M142" s="678"/>
      <c r="N142" s="679"/>
      <c r="P142" s="680"/>
    </row>
    <row r="143" spans="1:16" ht="12.75" customHeight="1">
      <c r="B143" s="678" t="s">
        <v>645</v>
      </c>
      <c r="H143" s="686" t="s">
        <v>10</v>
      </c>
      <c r="I143" s="807">
        <f>ROUND(+I142*1.6,2)</f>
        <v>88.93</v>
      </c>
      <c r="J143" s="686" t="s">
        <v>39</v>
      </c>
      <c r="K143" s="691"/>
      <c r="M143" s="678"/>
      <c r="N143" s="679"/>
      <c r="P143" s="680"/>
    </row>
    <row r="144" spans="1:16" ht="12.75" customHeight="1">
      <c r="B144" s="678" t="s">
        <v>632</v>
      </c>
      <c r="H144" s="686" t="s">
        <v>10</v>
      </c>
      <c r="I144" s="807">
        <f>ROUND(IF([3]เมนู!$S$10=2,[3]ค่าเสื่อมราคา!$H$23,[3]ค่าเสื่อมราคา!$G$23),2)</f>
        <v>46.81</v>
      </c>
      <c r="J144" s="686" t="s">
        <v>39</v>
      </c>
      <c r="K144" s="691"/>
      <c r="M144" s="678"/>
      <c r="N144" s="679"/>
      <c r="P144" s="680"/>
    </row>
    <row r="145" spans="1:26" ht="12.75" customHeight="1">
      <c r="B145" s="678" t="s">
        <v>646</v>
      </c>
      <c r="F145" s="678" t="s">
        <v>610</v>
      </c>
      <c r="H145" s="686" t="s">
        <v>10</v>
      </c>
      <c r="I145" s="812">
        <f>I143+I144</f>
        <v>135.74</v>
      </c>
      <c r="J145" s="686" t="s">
        <v>39</v>
      </c>
      <c r="K145" s="691" t="s">
        <v>642</v>
      </c>
      <c r="M145" s="678"/>
      <c r="N145" s="679"/>
      <c r="P145" s="680"/>
    </row>
    <row r="146" spans="1:26" ht="12.75" customHeight="1">
      <c r="B146" s="678" t="s">
        <v>647</v>
      </c>
      <c r="F146" s="678" t="s">
        <v>610</v>
      </c>
      <c r="H146" s="686" t="s">
        <v>10</v>
      </c>
      <c r="I146" s="812">
        <f>(I142*1.5)+I144</f>
        <v>130.18</v>
      </c>
      <c r="J146" s="686" t="s">
        <v>39</v>
      </c>
      <c r="K146" s="691" t="s">
        <v>642</v>
      </c>
      <c r="M146" s="678"/>
      <c r="N146" s="679"/>
      <c r="P146" s="680"/>
    </row>
    <row r="147" spans="1:26" ht="12.75" customHeight="1">
      <c r="A147" s="688" t="s">
        <v>648</v>
      </c>
      <c r="H147" s="686"/>
      <c r="I147" s="807"/>
      <c r="J147" s="686"/>
      <c r="K147" s="691"/>
      <c r="M147" s="678"/>
      <c r="N147" s="679"/>
      <c r="P147" s="680"/>
    </row>
    <row r="148" spans="1:26" ht="12.75" customHeight="1">
      <c r="A148" s="688"/>
      <c r="B148" s="688" t="s">
        <v>649</v>
      </c>
      <c r="H148" s="686"/>
      <c r="I148" s="807"/>
      <c r="J148" s="686"/>
      <c r="K148" s="691"/>
      <c r="M148" s="678"/>
      <c r="N148" s="679"/>
      <c r="P148" s="680"/>
    </row>
    <row r="149" spans="1:26" ht="12.75" customHeight="1">
      <c r="B149" s="678" t="s">
        <v>650</v>
      </c>
      <c r="F149" s="678" t="s">
        <v>610</v>
      </c>
      <c r="H149" s="686" t="s">
        <v>10</v>
      </c>
      <c r="I149" s="807">
        <f>D11</f>
        <v>15</v>
      </c>
      <c r="J149" s="686" t="s">
        <v>39</v>
      </c>
      <c r="K149" s="691" t="s">
        <v>640</v>
      </c>
      <c r="M149" s="678"/>
      <c r="N149" s="679"/>
      <c r="P149" s="680"/>
    </row>
    <row r="150" spans="1:26" ht="12.75" customHeight="1">
      <c r="B150" s="678" t="s">
        <v>629</v>
      </c>
      <c r="F150" s="678" t="s">
        <v>610</v>
      </c>
      <c r="H150" s="686" t="s">
        <v>10</v>
      </c>
      <c r="I150" s="807">
        <f>ROUND(IF([3]เมนู!$S$10=2,[3]ค่าเสื่อมราคา!H21,[3]ค่าเสื่อมราคา!G21),2)</f>
        <v>31.65</v>
      </c>
      <c r="J150" s="686" t="s">
        <v>39</v>
      </c>
      <c r="K150" s="691"/>
      <c r="M150" s="678"/>
      <c r="N150" s="679"/>
      <c r="P150" s="680"/>
    </row>
    <row r="151" spans="1:26" ht="12.75" customHeight="1">
      <c r="B151" s="678" t="s">
        <v>630</v>
      </c>
      <c r="E151" s="686">
        <f>F11</f>
        <v>1</v>
      </c>
      <c r="F151" s="678" t="s">
        <v>37</v>
      </c>
      <c r="H151" s="686" t="s">
        <v>10</v>
      </c>
      <c r="I151" s="807">
        <f>I11</f>
        <v>8.93</v>
      </c>
      <c r="J151" s="686" t="s">
        <v>39</v>
      </c>
      <c r="K151" s="691"/>
      <c r="M151" s="678"/>
      <c r="N151" s="679"/>
      <c r="P151" s="680"/>
    </row>
    <row r="152" spans="1:26" ht="12.75" customHeight="1">
      <c r="B152" s="678" t="s">
        <v>617</v>
      </c>
      <c r="H152" s="686" t="s">
        <v>10</v>
      </c>
      <c r="I152" s="807">
        <f>SUM(I149:I151)</f>
        <v>55.58</v>
      </c>
      <c r="J152" s="686" t="s">
        <v>39</v>
      </c>
      <c r="K152" s="691"/>
      <c r="M152" s="678"/>
      <c r="N152" s="679"/>
      <c r="P152" s="680"/>
    </row>
    <row r="153" spans="1:26" ht="12.75" customHeight="1">
      <c r="B153" s="678" t="s">
        <v>645</v>
      </c>
      <c r="H153" s="686" t="s">
        <v>10</v>
      </c>
      <c r="I153" s="807">
        <f>ROUND(+I152*1.6,2)</f>
        <v>88.93</v>
      </c>
      <c r="J153" s="686" t="s">
        <v>39</v>
      </c>
      <c r="K153" s="691"/>
      <c r="M153" s="678"/>
      <c r="N153" s="679"/>
      <c r="P153" s="680"/>
    </row>
    <row r="154" spans="1:26" ht="12.75" customHeight="1">
      <c r="A154" s="678">
        <v>1</v>
      </c>
      <c r="B154" s="678" t="s">
        <v>651</v>
      </c>
      <c r="E154" s="813">
        <f>[3]ข้อกำหนดเพิ่มเติม!B3</f>
        <v>100</v>
      </c>
      <c r="F154" s="678" t="s">
        <v>652</v>
      </c>
      <c r="H154" s="686" t="s">
        <v>10</v>
      </c>
      <c r="I154" s="807">
        <f>ROUND(I153*E154%,2)</f>
        <v>88.93</v>
      </c>
      <c r="J154" s="686" t="s">
        <v>39</v>
      </c>
      <c r="K154" s="691"/>
      <c r="L154" s="814" t="s">
        <v>653</v>
      </c>
      <c r="M154" s="815"/>
      <c r="N154" s="816"/>
      <c r="O154" s="817"/>
      <c r="P154" s="817"/>
      <c r="Q154" s="815"/>
      <c r="R154" s="815"/>
      <c r="S154" s="815"/>
      <c r="T154" s="815"/>
      <c r="U154" s="815"/>
      <c r="V154" s="815"/>
      <c r="W154" s="815"/>
      <c r="X154" s="815"/>
      <c r="Y154" s="815"/>
      <c r="Z154" s="815"/>
    </row>
    <row r="155" spans="1:26" ht="12.75" customHeight="1">
      <c r="B155" s="688" t="s">
        <v>654</v>
      </c>
      <c r="E155" s="818"/>
      <c r="H155" s="686"/>
      <c r="I155" s="807"/>
      <c r="J155" s="686"/>
      <c r="K155" s="691"/>
      <c r="L155" s="815">
        <v>60</v>
      </c>
      <c r="M155" s="815"/>
      <c r="N155" s="816"/>
      <c r="O155" s="817"/>
      <c r="P155" s="817"/>
      <c r="Q155" s="815"/>
      <c r="R155" s="815"/>
      <c r="S155" s="815"/>
      <c r="T155" s="815"/>
      <c r="U155" s="815"/>
      <c r="V155" s="815"/>
      <c r="W155" s="815"/>
      <c r="X155" s="815"/>
      <c r="Y155" s="815"/>
      <c r="Z155" s="815"/>
    </row>
    <row r="156" spans="1:26" ht="12.75" customHeight="1">
      <c r="B156" s="678" t="s">
        <v>655</v>
      </c>
      <c r="D156" s="819"/>
      <c r="F156" s="678" t="s">
        <v>610</v>
      </c>
      <c r="H156" s="686" t="s">
        <v>10</v>
      </c>
      <c r="I156" s="807">
        <f>D50</f>
        <v>250</v>
      </c>
      <c r="J156" s="686" t="s">
        <v>39</v>
      </c>
      <c r="K156" s="691" t="s">
        <v>640</v>
      </c>
      <c r="L156" s="815">
        <v>70</v>
      </c>
      <c r="M156" s="815"/>
      <c r="N156" s="816"/>
      <c r="O156" s="817"/>
      <c r="P156" s="817"/>
      <c r="Q156" s="815"/>
      <c r="R156" s="815"/>
      <c r="S156" s="815"/>
      <c r="T156" s="815"/>
      <c r="U156" s="815"/>
      <c r="V156" s="815"/>
      <c r="W156" s="815"/>
      <c r="X156" s="815"/>
      <c r="Y156" s="815"/>
      <c r="Z156" s="815"/>
    </row>
    <row r="157" spans="1:26" ht="12.75" customHeight="1">
      <c r="B157" s="678" t="s">
        <v>629</v>
      </c>
      <c r="F157" s="678" t="s">
        <v>610</v>
      </c>
      <c r="H157" s="686" t="s">
        <v>10</v>
      </c>
      <c r="I157" s="807">
        <f>ROUND(IF([3]เมนู!$S$10=2,[3]ค่าเสื่อมราคา!H11,[3]ค่าเสื่อมราคา!G11),2)</f>
        <v>21.67</v>
      </c>
      <c r="J157" s="686" t="s">
        <v>39</v>
      </c>
      <c r="K157" s="691"/>
      <c r="L157" s="815">
        <v>80</v>
      </c>
      <c r="M157" s="815"/>
      <c r="N157" s="816"/>
      <c r="O157" s="817"/>
      <c r="P157" s="817"/>
      <c r="Q157" s="815"/>
      <c r="R157" s="815"/>
      <c r="S157" s="815"/>
      <c r="T157" s="815"/>
      <c r="U157" s="815"/>
      <c r="V157" s="815"/>
      <c r="W157" s="815"/>
      <c r="X157" s="815"/>
      <c r="Y157" s="815"/>
      <c r="Z157" s="815"/>
    </row>
    <row r="158" spans="1:26" ht="12.75" customHeight="1">
      <c r="B158" s="678" t="s">
        <v>630</v>
      </c>
      <c r="E158" s="686">
        <f>F51</f>
        <v>20</v>
      </c>
      <c r="F158" s="678" t="s">
        <v>37</v>
      </c>
      <c r="H158" s="686" t="s">
        <v>10</v>
      </c>
      <c r="I158" s="807">
        <f>I50</f>
        <v>61.32</v>
      </c>
      <c r="J158" s="686" t="s">
        <v>39</v>
      </c>
      <c r="K158" s="691"/>
      <c r="L158" s="815">
        <v>85</v>
      </c>
      <c r="M158" s="815"/>
      <c r="N158" s="816"/>
      <c r="O158" s="817"/>
      <c r="P158" s="817"/>
      <c r="Q158" s="815"/>
      <c r="R158" s="815"/>
      <c r="S158" s="815"/>
      <c r="T158" s="815"/>
      <c r="U158" s="815"/>
      <c r="V158" s="815"/>
      <c r="W158" s="815"/>
      <c r="X158" s="815"/>
      <c r="Y158" s="815"/>
      <c r="Z158" s="815"/>
    </row>
    <row r="159" spans="1:26" ht="12.75" customHeight="1">
      <c r="B159" s="678" t="s">
        <v>617</v>
      </c>
      <c r="H159" s="686" t="s">
        <v>10</v>
      </c>
      <c r="I159" s="807">
        <f>SUM(I156:I158)</f>
        <v>332.99</v>
      </c>
      <c r="J159" s="686" t="s">
        <v>39</v>
      </c>
      <c r="K159" s="691"/>
      <c r="L159" s="815">
        <v>90</v>
      </c>
      <c r="M159" s="815"/>
      <c r="N159" s="816"/>
      <c r="O159" s="817"/>
      <c r="P159" s="817"/>
      <c r="Q159" s="815"/>
      <c r="R159" s="815"/>
      <c r="S159" s="815"/>
      <c r="T159" s="815"/>
      <c r="U159" s="815"/>
      <c r="V159" s="815"/>
      <c r="W159" s="815"/>
      <c r="X159" s="815"/>
      <c r="Y159" s="815"/>
      <c r="Z159" s="815"/>
    </row>
    <row r="160" spans="1:26" ht="12.75" customHeight="1">
      <c r="B160" s="678" t="s">
        <v>656</v>
      </c>
      <c r="H160" s="686" t="s">
        <v>10</v>
      </c>
      <c r="I160" s="807">
        <f>ROUND(+I159*1.4,2)</f>
        <v>466.19</v>
      </c>
      <c r="J160" s="686" t="s">
        <v>39</v>
      </c>
      <c r="K160" s="691"/>
      <c r="L160" s="815"/>
      <c r="M160" s="815"/>
      <c r="N160" s="816"/>
      <c r="O160" s="817"/>
      <c r="P160" s="817"/>
      <c r="Q160" s="815"/>
      <c r="R160" s="815"/>
      <c r="S160" s="815"/>
      <c r="T160" s="815"/>
      <c r="U160" s="815"/>
      <c r="V160" s="815"/>
      <c r="W160" s="815"/>
      <c r="X160" s="815"/>
      <c r="Y160" s="815"/>
      <c r="Z160" s="815"/>
    </row>
    <row r="161" spans="1:26" ht="12.75" customHeight="1">
      <c r="A161" s="678">
        <v>2</v>
      </c>
      <c r="B161" s="678" t="s">
        <v>651</v>
      </c>
      <c r="E161" s="813">
        <f>[3]ข้อกำหนดเพิ่มเติม!C3</f>
        <v>0</v>
      </c>
      <c r="F161" s="678" t="s">
        <v>652</v>
      </c>
      <c r="H161" s="686" t="s">
        <v>10</v>
      </c>
      <c r="I161" s="807">
        <f>ROUND(I160*E161%,2)</f>
        <v>0</v>
      </c>
      <c r="J161" s="686" t="s">
        <v>39</v>
      </c>
      <c r="K161" s="691"/>
      <c r="L161" s="814" t="s">
        <v>653</v>
      </c>
      <c r="M161" s="815"/>
      <c r="N161" s="816"/>
      <c r="O161" s="817"/>
      <c r="P161" s="817"/>
      <c r="Q161" s="815"/>
      <c r="R161" s="815"/>
      <c r="S161" s="815"/>
      <c r="T161" s="815"/>
      <c r="U161" s="815"/>
      <c r="V161" s="815"/>
      <c r="W161" s="815"/>
      <c r="X161" s="815"/>
      <c r="Y161" s="815"/>
      <c r="Z161" s="815"/>
    </row>
    <row r="162" spans="1:26" ht="12.75" customHeight="1">
      <c r="B162" s="678" t="s">
        <v>657</v>
      </c>
      <c r="H162" s="686" t="s">
        <v>10</v>
      </c>
      <c r="I162" s="807">
        <f>I161+I154</f>
        <v>88.93</v>
      </c>
      <c r="J162" s="686" t="s">
        <v>39</v>
      </c>
      <c r="K162" s="691"/>
      <c r="L162" s="815">
        <v>10</v>
      </c>
      <c r="M162" s="815"/>
      <c r="N162" s="816"/>
      <c r="O162" s="817"/>
      <c r="P162" s="817"/>
      <c r="Q162" s="815"/>
      <c r="R162" s="815"/>
      <c r="S162" s="815"/>
      <c r="T162" s="815"/>
      <c r="U162" s="815"/>
      <c r="V162" s="815"/>
      <c r="W162" s="815"/>
      <c r="X162" s="815"/>
      <c r="Y162" s="815"/>
      <c r="Z162" s="815"/>
    </row>
    <row r="163" spans="1:26" ht="12.75" customHeight="1">
      <c r="B163" s="678" t="s">
        <v>658</v>
      </c>
      <c r="H163" s="686" t="s">
        <v>10</v>
      </c>
      <c r="I163" s="807">
        <f>ROUND(IF([3]เมนู!$S$10=2,[3]ค่าเสื่อมราคา!H64,[3]ค่าเสื่อมราคา!G64),2)</f>
        <v>43.76</v>
      </c>
      <c r="J163" s="686" t="s">
        <v>39</v>
      </c>
      <c r="K163" s="691"/>
      <c r="L163" s="815">
        <v>20</v>
      </c>
      <c r="M163" s="815"/>
      <c r="N163" s="816"/>
      <c r="O163" s="817"/>
      <c r="P163" s="817"/>
      <c r="Q163" s="815"/>
      <c r="R163" s="815"/>
      <c r="S163" s="815"/>
      <c r="T163" s="815"/>
      <c r="U163" s="815"/>
      <c r="V163" s="815"/>
      <c r="W163" s="815"/>
      <c r="X163" s="815"/>
      <c r="Y163" s="815"/>
      <c r="Z163" s="815"/>
    </row>
    <row r="164" spans="1:26" ht="12.75" customHeight="1">
      <c r="B164" s="678" t="s">
        <v>659</v>
      </c>
      <c r="H164" s="686" t="s">
        <v>10</v>
      </c>
      <c r="I164" s="807">
        <f>ROUND(IF([3]เมนู!$S$10=2,[3]ค่าเสื่อมราคา!H23,[3]ค่าเสื่อมราคา!G23),2)</f>
        <v>46.81</v>
      </c>
      <c r="J164" s="686" t="s">
        <v>39</v>
      </c>
      <c r="K164" s="691"/>
      <c r="L164" s="815">
        <v>30</v>
      </c>
      <c r="M164" s="815"/>
      <c r="N164" s="816"/>
      <c r="O164" s="817"/>
      <c r="P164" s="817"/>
      <c r="Q164" s="815"/>
      <c r="R164" s="815"/>
      <c r="S164" s="815"/>
      <c r="T164" s="815"/>
      <c r="U164" s="815"/>
      <c r="V164" s="815"/>
      <c r="W164" s="815"/>
      <c r="X164" s="815"/>
      <c r="Y164" s="815"/>
      <c r="Z164" s="815"/>
    </row>
    <row r="165" spans="1:26" ht="12.75" customHeight="1">
      <c r="B165" s="678" t="s">
        <v>660</v>
      </c>
      <c r="H165" s="686" t="s">
        <v>10</v>
      </c>
      <c r="I165" s="807">
        <f>ROUND(IF([3]เมนู!$S$10=2,[3]ค่าเสื่อมราคา!H65,[3]ค่าเสื่อมราคา!G65),2)</f>
        <v>40.53</v>
      </c>
      <c r="J165" s="686" t="s">
        <v>39</v>
      </c>
      <c r="K165" s="691"/>
      <c r="L165" s="815">
        <v>40</v>
      </c>
      <c r="M165" s="815"/>
      <c r="N165" s="816"/>
      <c r="O165" s="817"/>
      <c r="P165" s="817"/>
      <c r="Q165" s="815"/>
      <c r="R165" s="815"/>
      <c r="S165" s="815"/>
      <c r="T165" s="815"/>
      <c r="U165" s="815"/>
      <c r="V165" s="815"/>
      <c r="W165" s="815"/>
      <c r="X165" s="815"/>
      <c r="Y165" s="815"/>
      <c r="Z165" s="815"/>
    </row>
    <row r="166" spans="1:26" ht="12.75" customHeight="1">
      <c r="B166" s="678" t="s">
        <v>661</v>
      </c>
      <c r="H166" s="686" t="s">
        <v>10</v>
      </c>
      <c r="I166" s="812">
        <f>I162+I163+I164+I165</f>
        <v>220.03</v>
      </c>
      <c r="J166" s="686" t="s">
        <v>39</v>
      </c>
      <c r="K166" s="691"/>
      <c r="L166" s="815"/>
      <c r="M166" s="815"/>
      <c r="N166" s="816"/>
      <c r="O166" s="817"/>
      <c r="P166" s="817"/>
      <c r="Q166" s="815"/>
      <c r="R166" s="815"/>
      <c r="S166" s="815"/>
      <c r="T166" s="815"/>
      <c r="U166" s="815"/>
      <c r="V166" s="815"/>
      <c r="W166" s="815"/>
      <c r="X166" s="815"/>
      <c r="Y166" s="815"/>
      <c r="Z166" s="815"/>
    </row>
    <row r="167" spans="1:26" ht="12.75" customHeight="1">
      <c r="A167" s="688" t="s">
        <v>662</v>
      </c>
      <c r="H167" s="686"/>
      <c r="I167" s="807"/>
      <c r="J167" s="686"/>
      <c r="K167" s="691"/>
      <c r="M167" s="678"/>
      <c r="N167" s="679"/>
      <c r="P167" s="680"/>
    </row>
    <row r="168" spans="1:26" ht="12.75" customHeight="1">
      <c r="B168" s="678" t="s">
        <v>650</v>
      </c>
      <c r="F168" s="678" t="s">
        <v>610</v>
      </c>
      <c r="H168" s="686" t="s">
        <v>10</v>
      </c>
      <c r="I168" s="807">
        <f>D11</f>
        <v>15</v>
      </c>
      <c r="J168" s="686" t="s">
        <v>39</v>
      </c>
      <c r="K168" s="691" t="s">
        <v>640</v>
      </c>
      <c r="M168" s="678"/>
      <c r="N168" s="679"/>
      <c r="P168" s="680"/>
    </row>
    <row r="169" spans="1:26" ht="12.75" customHeight="1">
      <c r="B169" s="678" t="s">
        <v>629</v>
      </c>
      <c r="F169" s="678" t="s">
        <v>610</v>
      </c>
      <c r="H169" s="686" t="s">
        <v>10</v>
      </c>
      <c r="I169" s="807">
        <f>ROUND(IF([3]เมนู!$S$10=2,[3]ค่าเสื่อมราคา!H21,[3]ค่าเสื่อมราคา!G21),2)</f>
        <v>31.65</v>
      </c>
      <c r="J169" s="686" t="s">
        <v>39</v>
      </c>
      <c r="K169" s="691"/>
      <c r="M169" s="678"/>
      <c r="N169" s="679"/>
      <c r="P169" s="680"/>
    </row>
    <row r="170" spans="1:26" ht="12.75" customHeight="1">
      <c r="B170" s="678" t="s">
        <v>630</v>
      </c>
      <c r="E170" s="686">
        <f>F11</f>
        <v>1</v>
      </c>
      <c r="F170" s="678" t="s">
        <v>37</v>
      </c>
      <c r="H170" s="686" t="s">
        <v>10</v>
      </c>
      <c r="I170" s="807">
        <f>I11</f>
        <v>8.93</v>
      </c>
      <c r="J170" s="686" t="s">
        <v>39</v>
      </c>
      <c r="K170" s="691"/>
      <c r="M170" s="678"/>
      <c r="N170" s="679"/>
      <c r="P170" s="680"/>
    </row>
    <row r="171" spans="1:26" ht="12.75" customHeight="1">
      <c r="B171" s="678" t="s">
        <v>617</v>
      </c>
      <c r="H171" s="686" t="s">
        <v>10</v>
      </c>
      <c r="I171" s="807">
        <f>SUM(I168:I170)</f>
        <v>55.58</v>
      </c>
      <c r="J171" s="686" t="s">
        <v>39</v>
      </c>
      <c r="K171" s="691"/>
      <c r="M171" s="678"/>
      <c r="N171" s="679"/>
      <c r="O171" s="820" t="s">
        <v>663</v>
      </c>
      <c r="P171" s="821"/>
    </row>
    <row r="172" spans="1:26" ht="12.75" customHeight="1">
      <c r="B172" s="678" t="s">
        <v>645</v>
      </c>
      <c r="H172" s="686" t="s">
        <v>10</v>
      </c>
      <c r="I172" s="807">
        <f>ROUND(+I171*1.6,2)</f>
        <v>88.93</v>
      </c>
      <c r="J172" s="686" t="s">
        <v>39</v>
      </c>
      <c r="K172" s="691"/>
      <c r="M172" s="822" t="s">
        <v>664</v>
      </c>
      <c r="N172" s="679"/>
      <c r="O172" s="823">
        <v>1600</v>
      </c>
      <c r="P172" s="824"/>
    </row>
    <row r="173" spans="1:26" ht="12.75" customHeight="1">
      <c r="B173" s="678" t="s">
        <v>663</v>
      </c>
      <c r="H173" s="686" t="s">
        <v>10</v>
      </c>
      <c r="I173" s="825">
        <f>[3]ข้อกำหนดเพิ่มเติม!D3</f>
        <v>1800</v>
      </c>
      <c r="J173" s="686" t="s">
        <v>320</v>
      </c>
      <c r="M173" s="826">
        <v>3</v>
      </c>
      <c r="N173" s="679"/>
      <c r="O173" s="827">
        <v>1700</v>
      </c>
      <c r="P173" s="828"/>
    </row>
    <row r="174" spans="1:26" ht="12.75" customHeight="1">
      <c r="B174" s="678" t="s">
        <v>665</v>
      </c>
      <c r="E174" s="813">
        <f>[3]ข้อกำหนดเพิ่มเติม!E3</f>
        <v>5</v>
      </c>
      <c r="F174" s="678" t="s">
        <v>652</v>
      </c>
      <c r="H174" s="686" t="s">
        <v>10</v>
      </c>
      <c r="I174" s="807">
        <f>ROUND(I173*E174/100,2)</f>
        <v>90</v>
      </c>
      <c r="J174" s="686" t="s">
        <v>320</v>
      </c>
      <c r="K174" s="691"/>
      <c r="M174" s="826">
        <v>3.5</v>
      </c>
      <c r="N174" s="679"/>
      <c r="O174" s="827">
        <v>1800</v>
      </c>
      <c r="P174" s="828"/>
    </row>
    <row r="175" spans="1:26" ht="12.75" customHeight="1">
      <c r="B175" s="678" t="s">
        <v>666</v>
      </c>
      <c r="H175" s="686" t="s">
        <v>10</v>
      </c>
      <c r="I175" s="807">
        <f>ROUND(I174*I337/1000,2)</f>
        <v>214.22</v>
      </c>
      <c r="J175" s="686" t="s">
        <v>3</v>
      </c>
      <c r="K175" s="691"/>
      <c r="M175" s="826">
        <v>4</v>
      </c>
      <c r="N175" s="679"/>
      <c r="O175" s="827">
        <v>1900</v>
      </c>
      <c r="P175" s="828"/>
    </row>
    <row r="176" spans="1:26" ht="12.75" customHeight="1">
      <c r="B176" s="802" t="s">
        <v>667</v>
      </c>
      <c r="H176" s="686" t="s">
        <v>10</v>
      </c>
      <c r="I176" s="825">
        <f>[3]ข้อกำหนดเพิ่มเติม!F3</f>
        <v>0</v>
      </c>
      <c r="J176" s="686" t="s">
        <v>39</v>
      </c>
      <c r="K176" s="691" t="s">
        <v>640</v>
      </c>
      <c r="M176" s="826">
        <v>4.5</v>
      </c>
      <c r="N176" s="679"/>
      <c r="O176" s="827">
        <v>2000</v>
      </c>
      <c r="P176" s="828"/>
    </row>
    <row r="177" spans="1:16" ht="12.75" customHeight="1">
      <c r="B177" s="678" t="s">
        <v>658</v>
      </c>
      <c r="H177" s="686" t="s">
        <v>10</v>
      </c>
      <c r="I177" s="807">
        <f>ROUND(IF([3]เมนู!$S$10=2,[3]ค่าเสื่อมราคา!H64,[3]ค่าเสื่อมราคา!G64),2)</f>
        <v>43.76</v>
      </c>
      <c r="J177" s="686" t="s">
        <v>39</v>
      </c>
      <c r="K177" s="691"/>
      <c r="M177" s="826">
        <v>5</v>
      </c>
      <c r="N177" s="679"/>
      <c r="O177" s="827">
        <v>2100</v>
      </c>
      <c r="P177" s="828"/>
    </row>
    <row r="178" spans="1:16" ht="12.75" customHeight="1">
      <c r="B178" s="678" t="s">
        <v>659</v>
      </c>
      <c r="H178" s="686" t="s">
        <v>10</v>
      </c>
      <c r="I178" s="807">
        <f>ROUND(IF([3]เมนู!$S$10=2,[3]ค่าเสื่อมราคา!H23,[3]ค่าเสื่อมราคา!G23),2)</f>
        <v>46.81</v>
      </c>
      <c r="J178" s="686" t="s">
        <v>39</v>
      </c>
      <c r="K178" s="691"/>
      <c r="M178" s="829">
        <v>5.5</v>
      </c>
      <c r="N178" s="679"/>
      <c r="O178" s="827">
        <v>2200</v>
      </c>
      <c r="P178" s="828"/>
    </row>
    <row r="179" spans="1:16" ht="12.75" customHeight="1">
      <c r="B179" s="678" t="s">
        <v>660</v>
      </c>
      <c r="H179" s="686" t="s">
        <v>10</v>
      </c>
      <c r="I179" s="807">
        <f>ROUND(IF([3]เมนู!$S$10=2,[3]ค่าเสื่อมราคา!H65,[3]ค่าเสื่อมราคา!G65),2)</f>
        <v>40.53</v>
      </c>
      <c r="J179" s="686" t="s">
        <v>39</v>
      </c>
      <c r="K179" s="691"/>
      <c r="M179" s="678"/>
      <c r="N179" s="679"/>
      <c r="O179" s="827">
        <v>2300</v>
      </c>
      <c r="P179" s="828"/>
    </row>
    <row r="180" spans="1:16" ht="12.75" customHeight="1">
      <c r="B180" s="678" t="s">
        <v>661</v>
      </c>
      <c r="H180" s="686" t="s">
        <v>10</v>
      </c>
      <c r="I180" s="812">
        <f>I172+I175+I177+I178+I179</f>
        <v>434.25</v>
      </c>
      <c r="J180" s="686" t="s">
        <v>39</v>
      </c>
      <c r="K180" s="691"/>
      <c r="M180" s="678"/>
      <c r="N180" s="679"/>
      <c r="O180" s="830">
        <v>2400</v>
      </c>
      <c r="P180" s="831"/>
    </row>
    <row r="181" spans="1:16" ht="12.75" customHeight="1">
      <c r="A181" s="688" t="s">
        <v>668</v>
      </c>
      <c r="D181" s="793" t="str">
        <f>"ขนส่งด้วย"&amp;[3]กรอกราคาวัสดุ!L13</f>
        <v>ขนส่งด้วยรถสิบล้อลากพ่วง</v>
      </c>
      <c r="F181" s="793"/>
      <c r="H181" s="686"/>
      <c r="I181" s="807"/>
      <c r="J181" s="686"/>
      <c r="K181" s="691"/>
    </row>
    <row r="182" spans="1:16" ht="12.75" customHeight="1">
      <c r="A182" s="688" t="s">
        <v>669</v>
      </c>
      <c r="D182" s="793"/>
      <c r="F182" s="793"/>
      <c r="H182" s="686"/>
      <c r="I182" s="807"/>
      <c r="J182" s="686"/>
      <c r="K182" s="691"/>
    </row>
    <row r="183" spans="1:16" ht="12.75" customHeight="1">
      <c r="B183" s="678" t="s">
        <v>670</v>
      </c>
      <c r="F183" s="678" t="s">
        <v>610</v>
      </c>
      <c r="H183" s="686" t="s">
        <v>10</v>
      </c>
      <c r="I183" s="807">
        <f>D12</f>
        <v>250</v>
      </c>
      <c r="J183" s="686" t="s">
        <v>39</v>
      </c>
      <c r="K183" s="691" t="s">
        <v>640</v>
      </c>
      <c r="M183" s="678"/>
      <c r="N183" s="679"/>
      <c r="P183" s="680"/>
    </row>
    <row r="184" spans="1:16" ht="12.75" customHeight="1">
      <c r="B184" s="678" t="s">
        <v>630</v>
      </c>
      <c r="E184" s="686">
        <f>F12</f>
        <v>207</v>
      </c>
      <c r="F184" s="678" t="s">
        <v>37</v>
      </c>
      <c r="H184" s="686" t="s">
        <v>10</v>
      </c>
      <c r="I184" s="807">
        <f>I12</f>
        <v>378.15</v>
      </c>
      <c r="J184" s="686" t="s">
        <v>39</v>
      </c>
      <c r="K184" s="691"/>
      <c r="M184" s="678"/>
      <c r="N184" s="679"/>
      <c r="P184" s="680"/>
    </row>
    <row r="185" spans="1:16" ht="12.75" customHeight="1">
      <c r="B185" s="678" t="s">
        <v>617</v>
      </c>
      <c r="H185" s="686" t="s">
        <v>10</v>
      </c>
      <c r="I185" s="807">
        <f>SUM(I183:I184)</f>
        <v>628.15</v>
      </c>
      <c r="J185" s="686" t="s">
        <v>39</v>
      </c>
      <c r="K185" s="691"/>
      <c r="M185" s="678"/>
      <c r="N185" s="679"/>
      <c r="P185" s="680"/>
    </row>
    <row r="186" spans="1:16" ht="12.75" customHeight="1">
      <c r="B186" s="678" t="s">
        <v>671</v>
      </c>
      <c r="H186" s="686" t="s">
        <v>10</v>
      </c>
      <c r="I186" s="807">
        <f>ROUND(I185*1.5,2)</f>
        <v>942.23</v>
      </c>
      <c r="J186" s="686" t="s">
        <v>39</v>
      </c>
      <c r="K186" s="690"/>
      <c r="L186" s="678">
        <f>I186/I190</f>
        <v>0.90837486864557926</v>
      </c>
      <c r="M186" s="678"/>
      <c r="N186" s="679"/>
      <c r="P186" s="680"/>
    </row>
    <row r="187" spans="1:16" ht="12.75" customHeight="1">
      <c r="B187" s="804" t="s">
        <v>672</v>
      </c>
      <c r="H187" s="686" t="s">
        <v>10</v>
      </c>
      <c r="I187" s="807">
        <f>ROUND(IF([3]เมนู!$S$10=2,[3]ค่าเสื่อมราคา!H28,[3]ค่าเสื่อมราคา!G28),2)</f>
        <v>21.02</v>
      </c>
      <c r="J187" s="686" t="s">
        <v>39</v>
      </c>
      <c r="K187" s="691"/>
      <c r="M187" s="678"/>
      <c r="N187" s="679"/>
      <c r="P187" s="680"/>
    </row>
    <row r="188" spans="1:16" ht="12.75" customHeight="1">
      <c r="B188" s="804" t="s">
        <v>673</v>
      </c>
      <c r="H188" s="686" t="s">
        <v>10</v>
      </c>
      <c r="I188" s="807">
        <f>ROUND(IF([3]เมนู!$S$10=2,[3]ค่าเสื่อมราคา!H29,[3]ค่าเสื่อมราคา!G29),2)</f>
        <v>74.02</v>
      </c>
      <c r="J188" s="686" t="s">
        <v>39</v>
      </c>
      <c r="K188" s="691"/>
      <c r="M188" s="678"/>
      <c r="N188" s="679"/>
      <c r="P188" s="680"/>
    </row>
    <row r="189" spans="1:16" ht="12.75" customHeight="1">
      <c r="B189" s="804"/>
      <c r="H189" s="686"/>
      <c r="I189" s="807">
        <f>I185+I187</f>
        <v>649.16999999999996</v>
      </c>
      <c r="J189" s="686"/>
      <c r="K189" s="691"/>
      <c r="M189" s="678"/>
      <c r="N189" s="679"/>
      <c r="P189" s="680"/>
    </row>
    <row r="190" spans="1:16" ht="12.75" customHeight="1">
      <c r="B190" s="678" t="s">
        <v>633</v>
      </c>
      <c r="D190" s="804"/>
      <c r="F190" s="678" t="s">
        <v>610</v>
      </c>
      <c r="H190" s="686" t="s">
        <v>10</v>
      </c>
      <c r="I190" s="812">
        <f>IF(E184=0,0,SUM(I186:I188))</f>
        <v>1037.27</v>
      </c>
      <c r="J190" s="686" t="s">
        <v>39</v>
      </c>
      <c r="K190" s="691" t="s">
        <v>642</v>
      </c>
      <c r="M190" s="678"/>
      <c r="N190" s="679"/>
      <c r="P190" s="680"/>
    </row>
    <row r="191" spans="1:16" ht="12.75" customHeight="1">
      <c r="A191" s="688" t="s">
        <v>674</v>
      </c>
      <c r="H191" s="686"/>
      <c r="I191" s="807"/>
      <c r="J191" s="686"/>
      <c r="K191" s="691"/>
      <c r="M191" s="678"/>
      <c r="N191" s="679"/>
      <c r="P191" s="680"/>
    </row>
    <row r="192" spans="1:16" ht="12.75" customHeight="1">
      <c r="B192" s="678" t="s">
        <v>650</v>
      </c>
      <c r="F192" s="678" t="s">
        <v>610</v>
      </c>
      <c r="H192" s="686" t="s">
        <v>10</v>
      </c>
      <c r="I192" s="807">
        <f>D11</f>
        <v>15</v>
      </c>
      <c r="J192" s="686" t="s">
        <v>39</v>
      </c>
      <c r="K192" s="691" t="s">
        <v>640</v>
      </c>
      <c r="M192" s="678"/>
      <c r="N192" s="679"/>
      <c r="P192" s="680"/>
    </row>
    <row r="193" spans="1:16" ht="12.75" customHeight="1">
      <c r="B193" s="678" t="s">
        <v>629</v>
      </c>
      <c r="F193" s="678" t="s">
        <v>610</v>
      </c>
      <c r="H193" s="686" t="s">
        <v>10</v>
      </c>
      <c r="I193" s="807">
        <f>ROUND(IF([3]เมนู!$S$10=2,[3]ค่าเสื่อมราคา!H21,[3]ค่าเสื่อมราคา!G21),2)</f>
        <v>31.65</v>
      </c>
      <c r="J193" s="686" t="s">
        <v>39</v>
      </c>
      <c r="K193" s="691"/>
      <c r="M193" s="822" t="s">
        <v>664</v>
      </c>
      <c r="N193" s="820" t="s">
        <v>663</v>
      </c>
      <c r="O193" s="821"/>
      <c r="P193" s="680"/>
    </row>
    <row r="194" spans="1:16" ht="12.75" customHeight="1">
      <c r="B194" s="678" t="s">
        <v>630</v>
      </c>
      <c r="E194" s="686">
        <f>F8</f>
        <v>1</v>
      </c>
      <c r="F194" s="678" t="s">
        <v>37</v>
      </c>
      <c r="H194" s="686" t="s">
        <v>10</v>
      </c>
      <c r="I194" s="807">
        <f>I8</f>
        <v>8.93</v>
      </c>
      <c r="J194" s="686" t="s">
        <v>39</v>
      </c>
      <c r="K194" s="691"/>
      <c r="M194" s="826">
        <v>3</v>
      </c>
      <c r="N194" s="823">
        <v>1600</v>
      </c>
      <c r="O194" s="824"/>
      <c r="P194" s="680"/>
    </row>
    <row r="195" spans="1:16" ht="12.75" customHeight="1">
      <c r="B195" s="678" t="s">
        <v>617</v>
      </c>
      <c r="H195" s="686" t="s">
        <v>10</v>
      </c>
      <c r="I195" s="807">
        <f>SUM(I192:I194)</f>
        <v>55.58</v>
      </c>
      <c r="J195" s="686" t="s">
        <v>39</v>
      </c>
      <c r="K195" s="691"/>
      <c r="M195" s="826">
        <v>3.5</v>
      </c>
      <c r="N195" s="827">
        <v>1700</v>
      </c>
      <c r="O195" s="828"/>
      <c r="P195" s="680"/>
    </row>
    <row r="196" spans="1:16" ht="12.75" customHeight="1">
      <c r="B196" s="678" t="s">
        <v>645</v>
      </c>
      <c r="H196" s="686" t="s">
        <v>10</v>
      </c>
      <c r="I196" s="807">
        <f>ROUND(+I195*1.6,2)</f>
        <v>88.93</v>
      </c>
      <c r="J196" s="686" t="s">
        <v>39</v>
      </c>
      <c r="K196" s="691"/>
      <c r="M196" s="826">
        <v>4</v>
      </c>
      <c r="N196" s="827">
        <v>1800</v>
      </c>
      <c r="O196" s="828"/>
      <c r="P196" s="680"/>
    </row>
    <row r="197" spans="1:16" ht="12.75" customHeight="1">
      <c r="B197" s="678" t="s">
        <v>663</v>
      </c>
      <c r="H197" s="686" t="s">
        <v>10</v>
      </c>
      <c r="I197" s="825">
        <f>[3]ข้อกำหนดเพิ่มเติม!G3</f>
        <v>1800</v>
      </c>
      <c r="J197" s="686" t="s">
        <v>320</v>
      </c>
      <c r="M197" s="826">
        <v>4.5</v>
      </c>
      <c r="N197" s="827">
        <v>1900</v>
      </c>
      <c r="O197" s="828"/>
      <c r="P197" s="680"/>
    </row>
    <row r="198" spans="1:16" ht="12.75" customHeight="1">
      <c r="B198" s="678" t="s">
        <v>665</v>
      </c>
      <c r="E198" s="813">
        <f>[3]ข้อกำหนดเพิ่มเติม!H3</f>
        <v>5</v>
      </c>
      <c r="F198" s="678" t="s">
        <v>652</v>
      </c>
      <c r="H198" s="686" t="s">
        <v>10</v>
      </c>
      <c r="I198" s="807">
        <f>ROUND(I197*E198/100,2)</f>
        <v>90</v>
      </c>
      <c r="J198" s="686" t="s">
        <v>320</v>
      </c>
      <c r="K198" s="691"/>
      <c r="M198" s="826">
        <v>5</v>
      </c>
      <c r="N198" s="827">
        <v>2000</v>
      </c>
      <c r="O198" s="828"/>
      <c r="P198" s="680"/>
    </row>
    <row r="199" spans="1:16" ht="12.75" customHeight="1">
      <c r="B199" s="678" t="s">
        <v>666</v>
      </c>
      <c r="H199" s="686" t="s">
        <v>10</v>
      </c>
      <c r="I199" s="807">
        <f>ROUND(I198*I337/1000,2)</f>
        <v>214.22</v>
      </c>
      <c r="J199" s="686" t="s">
        <v>3</v>
      </c>
      <c r="K199" s="691"/>
      <c r="M199" s="829">
        <v>5.5</v>
      </c>
      <c r="N199" s="827">
        <v>2100</v>
      </c>
      <c r="O199" s="828"/>
      <c r="P199" s="680"/>
    </row>
    <row r="200" spans="1:16" ht="12.75" customHeight="1">
      <c r="B200" s="802" t="s">
        <v>667</v>
      </c>
      <c r="H200" s="686" t="s">
        <v>10</v>
      </c>
      <c r="I200" s="825">
        <f>[3]ข้อกำหนดเพิ่มเติม!I3</f>
        <v>0</v>
      </c>
      <c r="J200" s="686" t="s">
        <v>39</v>
      </c>
      <c r="K200" s="691" t="s">
        <v>640</v>
      </c>
      <c r="N200" s="827">
        <v>2200</v>
      </c>
      <c r="O200" s="828"/>
      <c r="P200" s="680"/>
    </row>
    <row r="201" spans="1:16" ht="12.75" customHeight="1">
      <c r="B201" s="678" t="s">
        <v>658</v>
      </c>
      <c r="H201" s="686" t="s">
        <v>10</v>
      </c>
      <c r="I201" s="807">
        <f>ROUND(IF([3]เมนู!$S$10=2,[3]ค่าเสื่อมราคา!H64,[3]ค่าเสื่อมราคา!G64),2)</f>
        <v>43.76</v>
      </c>
      <c r="J201" s="686" t="s">
        <v>39</v>
      </c>
      <c r="K201" s="691"/>
      <c r="N201" s="827">
        <v>2300</v>
      </c>
      <c r="O201" s="828"/>
      <c r="P201" s="680"/>
    </row>
    <row r="202" spans="1:16" ht="12.75" customHeight="1">
      <c r="B202" s="678" t="s">
        <v>659</v>
      </c>
      <c r="H202" s="686" t="s">
        <v>10</v>
      </c>
      <c r="I202" s="807">
        <f>ROUND(IF([3]เมนู!$S$10=2,[3]ค่าเสื่อมราคา!H23,[3]ค่าเสื่อมราคา!G23),2)</f>
        <v>46.81</v>
      </c>
      <c r="J202" s="686" t="s">
        <v>39</v>
      </c>
      <c r="K202" s="691"/>
      <c r="N202" s="830">
        <v>2400</v>
      </c>
      <c r="O202" s="831"/>
      <c r="P202" s="680"/>
    </row>
    <row r="203" spans="1:16" ht="12.75" customHeight="1">
      <c r="B203" s="678" t="s">
        <v>660</v>
      </c>
      <c r="H203" s="686" t="s">
        <v>10</v>
      </c>
      <c r="I203" s="807">
        <f>ROUND(IF([3]เมนู!$S$10=2,[3]ค่าเสื่อมราคา!H65,[3]ค่าเสื่อมราคา!G65),2)</f>
        <v>40.53</v>
      </c>
      <c r="J203" s="686" t="s">
        <v>39</v>
      </c>
      <c r="K203" s="691"/>
      <c r="P203" s="680"/>
    </row>
    <row r="204" spans="1:16" ht="12.75" customHeight="1">
      <c r="B204" s="678" t="s">
        <v>661</v>
      </c>
      <c r="H204" s="686" t="s">
        <v>10</v>
      </c>
      <c r="I204" s="812">
        <f>I196+I199+I201+I202+I203</f>
        <v>434.25</v>
      </c>
      <c r="J204" s="686" t="s">
        <v>39</v>
      </c>
      <c r="K204" s="691"/>
      <c r="P204" s="680"/>
    </row>
    <row r="205" spans="1:16" ht="12.75" customHeight="1">
      <c r="A205" s="688" t="s">
        <v>675</v>
      </c>
      <c r="D205" s="801"/>
      <c r="E205" s="810"/>
      <c r="H205" s="686"/>
      <c r="I205" s="807"/>
      <c r="J205" s="686"/>
      <c r="K205" s="691"/>
      <c r="M205" s="678"/>
      <c r="N205" s="679"/>
      <c r="P205" s="680"/>
    </row>
    <row r="206" spans="1:16" ht="12.75" customHeight="1">
      <c r="B206" s="678" t="s">
        <v>628</v>
      </c>
      <c r="E206" s="832"/>
      <c r="F206" s="833" t="s">
        <v>610</v>
      </c>
      <c r="G206" s="832"/>
      <c r="H206" s="832" t="s">
        <v>10</v>
      </c>
      <c r="I206" s="834">
        <f>$D$11</f>
        <v>15</v>
      </c>
      <c r="J206" s="832" t="s">
        <v>39</v>
      </c>
      <c r="K206" s="835" t="s">
        <v>640</v>
      </c>
      <c r="M206" s="678"/>
      <c r="N206" s="679"/>
      <c r="P206" s="680"/>
    </row>
    <row r="207" spans="1:16" ht="12.75" customHeight="1">
      <c r="B207" s="678" t="s">
        <v>629</v>
      </c>
      <c r="E207" s="832"/>
      <c r="F207" s="833" t="s">
        <v>610</v>
      </c>
      <c r="G207" s="832"/>
      <c r="H207" s="832" t="s">
        <v>10</v>
      </c>
      <c r="I207" s="834">
        <f>ROUND(IF([3]เมนู!$S$10=2,[3]ค่าเสื่อมราคา!$H$21,[3]ค่าเสื่อมราคา!$G$21),2)</f>
        <v>31.65</v>
      </c>
      <c r="J207" s="832" t="s">
        <v>39</v>
      </c>
      <c r="K207" s="835"/>
      <c r="M207" s="678"/>
      <c r="N207" s="679"/>
      <c r="P207" s="680"/>
    </row>
    <row r="208" spans="1:16" ht="12.75" customHeight="1">
      <c r="B208" s="678" t="s">
        <v>630</v>
      </c>
      <c r="E208" s="832">
        <f>$F$11</f>
        <v>1</v>
      </c>
      <c r="F208" s="833" t="s">
        <v>37</v>
      </c>
      <c r="G208" s="832"/>
      <c r="H208" s="832" t="s">
        <v>10</v>
      </c>
      <c r="I208" s="834">
        <f>$I$11</f>
        <v>8.93</v>
      </c>
      <c r="J208" s="832" t="s">
        <v>39</v>
      </c>
      <c r="K208" s="835"/>
      <c r="M208" s="678"/>
      <c r="N208" s="679"/>
      <c r="P208" s="680"/>
    </row>
    <row r="209" spans="1:38" ht="12.75" customHeight="1">
      <c r="B209" s="678" t="s">
        <v>617</v>
      </c>
      <c r="E209" s="832"/>
      <c r="F209" s="833"/>
      <c r="G209" s="832"/>
      <c r="H209" s="832" t="s">
        <v>10</v>
      </c>
      <c r="I209" s="834">
        <f>SUM(I206:I208)</f>
        <v>55.58</v>
      </c>
      <c r="J209" s="832" t="s">
        <v>39</v>
      </c>
      <c r="K209" s="835"/>
      <c r="M209" s="678"/>
      <c r="N209" s="679"/>
      <c r="P209" s="680"/>
      <c r="AL209" s="836"/>
    </row>
    <row r="210" spans="1:38" ht="12.75" customHeight="1">
      <c r="B210" s="678" t="s">
        <v>645</v>
      </c>
      <c r="E210" s="832"/>
      <c r="F210" s="833"/>
      <c r="G210" s="832"/>
      <c r="H210" s="832" t="s">
        <v>10</v>
      </c>
      <c r="I210" s="834">
        <f>ROUND(+I209*1.6,2)</f>
        <v>88.93</v>
      </c>
      <c r="J210" s="832" t="s">
        <v>39</v>
      </c>
      <c r="K210" s="835"/>
      <c r="M210" s="678"/>
      <c r="N210" s="679"/>
      <c r="P210" s="680"/>
    </row>
    <row r="211" spans="1:38" ht="12.75" customHeight="1">
      <c r="B211" s="678" t="s">
        <v>632</v>
      </c>
      <c r="E211" s="832"/>
      <c r="F211" s="833"/>
      <c r="G211" s="832"/>
      <c r="H211" s="832" t="s">
        <v>10</v>
      </c>
      <c r="I211" s="834">
        <f>ROUND(IF([3]เมนู!$S$10=2,[3]ค่าเสื่อมราคา!$H$28,[3]ค่าเสื่อมราคา!$G$28),2)</f>
        <v>21.02</v>
      </c>
      <c r="J211" s="832" t="s">
        <v>39</v>
      </c>
      <c r="K211" s="835"/>
      <c r="M211" s="678"/>
      <c r="N211" s="679"/>
      <c r="P211" s="680"/>
    </row>
    <row r="212" spans="1:38" ht="12.75" customHeight="1">
      <c r="B212" s="678" t="s">
        <v>646</v>
      </c>
      <c r="E212" s="832"/>
      <c r="F212" s="833" t="s">
        <v>610</v>
      </c>
      <c r="G212" s="832"/>
      <c r="H212" s="832" t="s">
        <v>10</v>
      </c>
      <c r="I212" s="837">
        <f>I210+I211</f>
        <v>109.95</v>
      </c>
      <c r="J212" s="832" t="s">
        <v>39</v>
      </c>
      <c r="K212" s="835" t="s">
        <v>642</v>
      </c>
      <c r="L212" s="833"/>
      <c r="M212" s="833"/>
      <c r="N212" s="838"/>
      <c r="O212" s="839"/>
      <c r="P212" s="839"/>
      <c r="Q212" s="833"/>
      <c r="R212" s="833"/>
      <c r="S212" s="833"/>
      <c r="T212" s="833"/>
      <c r="U212" s="833"/>
      <c r="V212" s="833"/>
      <c r="W212" s="833"/>
      <c r="X212" s="833"/>
      <c r="Y212" s="833"/>
      <c r="Z212" s="833"/>
      <c r="AA212" s="833"/>
      <c r="AB212" s="833"/>
      <c r="AC212" s="833"/>
      <c r="AD212" s="833"/>
      <c r="AE212" s="833"/>
      <c r="AF212" s="833"/>
      <c r="AG212" s="833"/>
      <c r="AH212" s="833"/>
      <c r="AI212" s="833"/>
      <c r="AJ212" s="833"/>
    </row>
    <row r="213" spans="1:38" ht="12.75" customHeight="1">
      <c r="B213" s="678" t="s">
        <v>647</v>
      </c>
      <c r="E213" s="832"/>
      <c r="F213" s="833" t="s">
        <v>610</v>
      </c>
      <c r="G213" s="832"/>
      <c r="H213" s="832" t="s">
        <v>10</v>
      </c>
      <c r="I213" s="837">
        <f>(I209*1.5)+I211</f>
        <v>104.39</v>
      </c>
      <c r="J213" s="832" t="s">
        <v>39</v>
      </c>
      <c r="K213" s="835" t="s">
        <v>642</v>
      </c>
      <c r="L213" s="833"/>
      <c r="M213" s="833"/>
      <c r="N213" s="838"/>
      <c r="O213" s="839"/>
      <c r="P213" s="839"/>
      <c r="Q213" s="833"/>
      <c r="R213" s="833"/>
      <c r="S213" s="833"/>
      <c r="T213" s="833"/>
      <c r="U213" s="833"/>
      <c r="V213" s="833"/>
      <c r="W213" s="833"/>
      <c r="X213" s="833"/>
      <c r="Y213" s="833"/>
      <c r="Z213" s="833"/>
      <c r="AA213" s="833"/>
      <c r="AB213" s="833"/>
      <c r="AC213" s="833"/>
      <c r="AD213" s="833"/>
      <c r="AE213" s="833"/>
      <c r="AF213" s="833"/>
      <c r="AG213" s="833"/>
      <c r="AH213" s="833"/>
      <c r="AI213" s="833"/>
      <c r="AJ213" s="833"/>
    </row>
    <row r="214" spans="1:38" ht="12.75" customHeight="1">
      <c r="A214" s="695"/>
      <c r="C214" s="793"/>
      <c r="F214" s="793"/>
      <c r="H214" s="686"/>
      <c r="I214" s="807"/>
      <c r="J214" s="686"/>
      <c r="K214" s="691"/>
      <c r="P214" s="680"/>
    </row>
    <row r="215" spans="1:38" ht="12.75" customHeight="1">
      <c r="B215" s="840" t="s">
        <v>13</v>
      </c>
      <c r="C215" s="841"/>
      <c r="H215" s="686"/>
      <c r="I215" s="807"/>
      <c r="J215" s="686"/>
      <c r="K215" s="691"/>
      <c r="P215" s="680"/>
    </row>
    <row r="216" spans="1:38" ht="12.75" customHeight="1">
      <c r="B216" s="833" t="s">
        <v>676</v>
      </c>
      <c r="C216" s="833"/>
      <c r="H216" s="686" t="s">
        <v>10</v>
      </c>
      <c r="I216" s="842">
        <v>1.006</v>
      </c>
      <c r="J216" s="686"/>
      <c r="K216" s="691"/>
      <c r="M216" s="678"/>
      <c r="N216" s="679"/>
      <c r="P216" s="680"/>
    </row>
    <row r="217" spans="1:38" ht="12.75" customHeight="1">
      <c r="B217" s="678" t="s">
        <v>677</v>
      </c>
      <c r="F217" s="678" t="s">
        <v>678</v>
      </c>
      <c r="H217" s="686" t="s">
        <v>10</v>
      </c>
      <c r="I217" s="843" t="e">
        <f>$K$43</f>
        <v>#REF!</v>
      </c>
      <c r="J217" s="686" t="s">
        <v>39</v>
      </c>
      <c r="K217" s="691" t="s">
        <v>679</v>
      </c>
      <c r="M217" s="678"/>
      <c r="N217" s="679"/>
      <c r="P217" s="680"/>
    </row>
    <row r="218" spans="1:38" ht="12.75" customHeight="1">
      <c r="B218" s="678" t="s">
        <v>680</v>
      </c>
      <c r="F218" s="678" t="s">
        <v>678</v>
      </c>
      <c r="H218" s="686" t="s">
        <v>10</v>
      </c>
      <c r="I218" s="843" t="e">
        <f>$K$41</f>
        <v>#REF!</v>
      </c>
      <c r="J218" s="686" t="s">
        <v>39</v>
      </c>
      <c r="K218" s="691" t="s">
        <v>681</v>
      </c>
      <c r="M218" s="678"/>
      <c r="N218" s="679"/>
      <c r="P218" s="680"/>
    </row>
    <row r="219" spans="1:38" ht="12.75" customHeight="1">
      <c r="B219" s="678" t="s">
        <v>682</v>
      </c>
      <c r="F219" s="678" t="s">
        <v>678</v>
      </c>
      <c r="H219" s="686" t="s">
        <v>10</v>
      </c>
      <c r="I219" s="843" t="e">
        <f>$K$42</f>
        <v>#REF!</v>
      </c>
      <c r="J219" s="686" t="s">
        <v>39</v>
      </c>
      <c r="K219" s="691" t="s">
        <v>683</v>
      </c>
      <c r="M219" s="678"/>
      <c r="N219" s="679"/>
      <c r="P219" s="680"/>
    </row>
    <row r="220" spans="1:38" ht="12.75" customHeight="1">
      <c r="B220" s="678" t="s">
        <v>684</v>
      </c>
      <c r="F220" s="678" t="s">
        <v>678</v>
      </c>
      <c r="H220" s="686" t="s">
        <v>10</v>
      </c>
      <c r="I220" s="843" t="e">
        <f>$K$46</f>
        <v>#REF!</v>
      </c>
      <c r="J220" s="686" t="s">
        <v>39</v>
      </c>
      <c r="K220" s="691" t="s">
        <v>685</v>
      </c>
      <c r="M220" s="678"/>
      <c r="N220" s="679"/>
      <c r="P220" s="680"/>
    </row>
    <row r="221" spans="1:38" ht="12.75" customHeight="1">
      <c r="B221" s="678" t="s">
        <v>686</v>
      </c>
      <c r="F221" s="678" t="s">
        <v>678</v>
      </c>
      <c r="H221" s="686" t="s">
        <v>10</v>
      </c>
      <c r="I221" s="843" t="e">
        <f>$K$44</f>
        <v>#REF!</v>
      </c>
      <c r="J221" s="686" t="s">
        <v>39</v>
      </c>
      <c r="K221" s="691" t="s">
        <v>687</v>
      </c>
      <c r="M221" s="678"/>
      <c r="N221" s="679"/>
      <c r="P221" s="680"/>
    </row>
    <row r="222" spans="1:38" ht="12.75" customHeight="1">
      <c r="B222" s="678" t="s">
        <v>688</v>
      </c>
      <c r="F222" s="678" t="s">
        <v>678</v>
      </c>
      <c r="H222" s="686" t="s">
        <v>10</v>
      </c>
      <c r="I222" s="843" t="e">
        <f>$K$45</f>
        <v>#REF!</v>
      </c>
      <c r="J222" s="686" t="s">
        <v>39</v>
      </c>
      <c r="K222" s="691" t="s">
        <v>689</v>
      </c>
      <c r="M222" s="678"/>
      <c r="N222" s="679"/>
      <c r="P222" s="680"/>
    </row>
    <row r="223" spans="1:38" ht="12.75" customHeight="1">
      <c r="B223" s="678" t="s">
        <v>690</v>
      </c>
      <c r="F223" s="678" t="s">
        <v>691</v>
      </c>
      <c r="H223" s="686" t="s">
        <v>10</v>
      </c>
      <c r="I223" s="807">
        <f>D15+I15</f>
        <v>908.15</v>
      </c>
      <c r="J223" s="686" t="s">
        <v>39</v>
      </c>
      <c r="K223" s="691" t="s">
        <v>692</v>
      </c>
      <c r="M223" s="844" t="s">
        <v>693</v>
      </c>
      <c r="N223" s="844"/>
      <c r="O223" s="844"/>
      <c r="P223" s="680"/>
    </row>
    <row r="224" spans="1:38" ht="12.75" customHeight="1">
      <c r="B224" s="678" t="s">
        <v>694</v>
      </c>
      <c r="F224" s="678" t="s">
        <v>691</v>
      </c>
      <c r="H224" s="686" t="s">
        <v>10</v>
      </c>
      <c r="I224" s="807">
        <f>D13+I13</f>
        <v>568.15</v>
      </c>
      <c r="J224" s="686" t="s">
        <v>39</v>
      </c>
      <c r="K224" s="691" t="s">
        <v>695</v>
      </c>
      <c r="M224" s="844" t="s">
        <v>696</v>
      </c>
      <c r="N224" s="845" t="s">
        <v>72</v>
      </c>
      <c r="O224" s="845" t="s">
        <v>697</v>
      </c>
      <c r="P224" s="845"/>
    </row>
    <row r="225" spans="1:19" ht="12.75" customHeight="1">
      <c r="B225" s="678" t="s">
        <v>698</v>
      </c>
      <c r="F225" s="678" t="s">
        <v>691</v>
      </c>
      <c r="H225" s="686" t="s">
        <v>10</v>
      </c>
      <c r="I225" s="807">
        <f>D16+I16</f>
        <v>788.15</v>
      </c>
      <c r="J225" s="686" t="s">
        <v>39</v>
      </c>
      <c r="K225" s="691" t="s">
        <v>699</v>
      </c>
      <c r="M225" s="678"/>
      <c r="N225" s="846">
        <v>57.5</v>
      </c>
      <c r="O225" s="846">
        <v>60.61</v>
      </c>
      <c r="P225" s="847">
        <f>IF([3]เมนู!$S$10=1,N225,O225)</f>
        <v>57.5</v>
      </c>
      <c r="R225" s="844"/>
    </row>
    <row r="226" spans="1:19" ht="12.75" customHeight="1">
      <c r="B226" s="678" t="s">
        <v>700</v>
      </c>
      <c r="F226" s="678" t="s">
        <v>691</v>
      </c>
      <c r="H226" s="686" t="s">
        <v>10</v>
      </c>
      <c r="I226" s="807">
        <f>D18+I18</f>
        <v>714.95</v>
      </c>
      <c r="J226" s="686" t="s">
        <v>39</v>
      </c>
      <c r="K226" s="691" t="s">
        <v>701</v>
      </c>
      <c r="M226" s="678"/>
      <c r="N226" s="678"/>
      <c r="O226" s="678"/>
      <c r="R226" s="848"/>
    </row>
    <row r="227" spans="1:19" ht="12.75" customHeight="1">
      <c r="B227" s="678" t="s">
        <v>702</v>
      </c>
      <c r="F227" s="678" t="s">
        <v>691</v>
      </c>
      <c r="H227" s="686" t="s">
        <v>10</v>
      </c>
      <c r="I227" s="849">
        <f>[3]กรอกราคาวัสดุ!J8</f>
        <v>8.93</v>
      </c>
      <c r="J227" s="678" t="s">
        <v>703</v>
      </c>
      <c r="K227" s="691" t="s">
        <v>704</v>
      </c>
      <c r="M227" s="850"/>
      <c r="N227" s="678"/>
      <c r="O227" s="678"/>
    </row>
    <row r="228" spans="1:19" ht="12.75" customHeight="1">
      <c r="A228" s="688" t="s">
        <v>705</v>
      </c>
      <c r="H228" s="686"/>
      <c r="I228" s="807"/>
      <c r="J228" s="686"/>
      <c r="K228" s="691"/>
      <c r="M228" s="678"/>
      <c r="N228" s="679"/>
      <c r="P228" s="680"/>
    </row>
    <row r="229" spans="1:19" ht="12.75" customHeight="1">
      <c r="A229" s="688" t="s">
        <v>706</v>
      </c>
      <c r="H229" s="686"/>
      <c r="I229" s="807"/>
      <c r="J229" s="686"/>
      <c r="K229" s="691"/>
      <c r="M229" s="678"/>
      <c r="N229" s="679"/>
      <c r="P229" s="680"/>
    </row>
    <row r="230" spans="1:19" ht="12.75" customHeight="1">
      <c r="B230" s="678" t="s">
        <v>707</v>
      </c>
      <c r="H230" s="686" t="s">
        <v>10</v>
      </c>
      <c r="I230" s="807" t="e">
        <f>ROUND(0.8*I218/1000,2)</f>
        <v>#REF!</v>
      </c>
      <c r="J230" s="686" t="s">
        <v>115</v>
      </c>
      <c r="K230" s="691"/>
      <c r="M230" s="678"/>
      <c r="N230" s="679"/>
      <c r="P230" s="680"/>
    </row>
    <row r="231" spans="1:19" ht="12.75" customHeight="1">
      <c r="B231" s="678" t="s">
        <v>604</v>
      </c>
      <c r="H231" s="686" t="s">
        <v>10</v>
      </c>
      <c r="I231" s="807">
        <f>ROUND(IF([3]เมนู!$S$10=1,[3]ค่าเสื่อมราคา!G35,[3]ค่าเสื่อมราคา!H35),2)</f>
        <v>7.12</v>
      </c>
      <c r="J231" s="686" t="s">
        <v>115</v>
      </c>
      <c r="K231" s="691"/>
      <c r="M231" s="678"/>
      <c r="N231" s="679"/>
      <c r="P231" s="680"/>
    </row>
    <row r="232" spans="1:19" ht="12.75" customHeight="1">
      <c r="B232" s="678" t="s">
        <v>633</v>
      </c>
      <c r="D232" s="804"/>
      <c r="H232" s="686" t="s">
        <v>10</v>
      </c>
      <c r="I232" s="812" t="e">
        <f>ROUND(SUM(I230:I231),2)</f>
        <v>#REF!</v>
      </c>
      <c r="J232" s="686" t="s">
        <v>115</v>
      </c>
      <c r="K232" s="691"/>
      <c r="M232" s="678"/>
      <c r="N232" s="679"/>
      <c r="P232" s="680"/>
    </row>
    <row r="233" spans="1:19" ht="12.75" customHeight="1">
      <c r="A233" s="688" t="s">
        <v>708</v>
      </c>
      <c r="D233" s="804"/>
      <c r="H233" s="686"/>
      <c r="I233" s="807"/>
      <c r="J233" s="686"/>
      <c r="K233" s="691"/>
      <c r="M233" s="851" t="s">
        <v>709</v>
      </c>
      <c r="N233" s="852" t="s">
        <v>710</v>
      </c>
      <c r="O233" s="824"/>
      <c r="P233" s="807">
        <f>[3]ข้อมูลโครงการ!$Q$3</f>
        <v>4.8179999999999996</v>
      </c>
      <c r="Q233" s="680">
        <f>P233/4</f>
        <v>1.2044999999999999</v>
      </c>
      <c r="R233" s="853">
        <f>INT(IF(Q233&lt;1,1,IF(Q233&gt;1,Q233+0.5)))</f>
        <v>1</v>
      </c>
      <c r="S233" s="854"/>
    </row>
    <row r="234" spans="1:19" ht="12.75" customHeight="1">
      <c r="B234" s="678" t="s">
        <v>711</v>
      </c>
      <c r="D234" s="804"/>
      <c r="H234" s="686" t="s">
        <v>10</v>
      </c>
      <c r="I234" s="807" t="e">
        <f>ROUND(0.8*I222/1000,2)</f>
        <v>#REF!</v>
      </c>
      <c r="J234" s="686" t="s">
        <v>115</v>
      </c>
      <c r="K234" s="691"/>
      <c r="M234" s="855" t="s">
        <v>712</v>
      </c>
      <c r="N234" s="856" t="s">
        <v>713</v>
      </c>
      <c r="O234" s="828"/>
      <c r="P234" s="680"/>
    </row>
    <row r="235" spans="1:19" ht="12.75" customHeight="1">
      <c r="B235" s="678" t="s">
        <v>604</v>
      </c>
      <c r="D235" s="804"/>
      <c r="H235" s="686" t="s">
        <v>10</v>
      </c>
      <c r="I235" s="807">
        <f>ROUND(IF([3]เมนู!$S$10=2,[3]ค่าเสื่อมราคา!H35,[3]ค่าเสื่อมราคา!G35),2)</f>
        <v>7.12</v>
      </c>
      <c r="J235" s="686" t="s">
        <v>115</v>
      </c>
      <c r="K235" s="691"/>
      <c r="M235" s="855" t="s">
        <v>112</v>
      </c>
      <c r="N235" s="856" t="s">
        <v>714</v>
      </c>
      <c r="O235" s="828"/>
      <c r="P235" s="680"/>
    </row>
    <row r="236" spans="1:19" ht="12.75" customHeight="1">
      <c r="B236" s="678" t="s">
        <v>633</v>
      </c>
      <c r="D236" s="804"/>
      <c r="H236" s="686" t="s">
        <v>10</v>
      </c>
      <c r="I236" s="812" t="e">
        <f>ROUND(SUM(I234:I235),2)</f>
        <v>#REF!</v>
      </c>
      <c r="J236" s="686" t="s">
        <v>115</v>
      </c>
      <c r="K236" s="691"/>
      <c r="M236" s="855" t="s">
        <v>715</v>
      </c>
      <c r="N236" s="856" t="s">
        <v>716</v>
      </c>
      <c r="O236" s="828"/>
      <c r="P236" s="680"/>
    </row>
    <row r="237" spans="1:19" ht="12.75" customHeight="1">
      <c r="A237" s="688" t="s">
        <v>717</v>
      </c>
      <c r="H237" s="686"/>
      <c r="I237" s="807"/>
      <c r="J237" s="686"/>
      <c r="K237" s="691"/>
      <c r="M237" s="855" t="s">
        <v>718</v>
      </c>
      <c r="N237" s="856" t="s">
        <v>719</v>
      </c>
      <c r="O237" s="828"/>
      <c r="P237" s="680"/>
    </row>
    <row r="238" spans="1:19" ht="12.75" customHeight="1">
      <c r="B238" s="678" t="s">
        <v>720</v>
      </c>
      <c r="H238" s="686" t="s">
        <v>10</v>
      </c>
      <c r="I238" s="807" t="e">
        <f>ROUND(0.3*I217/1000,2)</f>
        <v>#REF!</v>
      </c>
      <c r="J238" s="686" t="s">
        <v>115</v>
      </c>
      <c r="K238" s="691"/>
      <c r="M238" s="855" t="s">
        <v>721</v>
      </c>
      <c r="N238" s="856" t="s">
        <v>722</v>
      </c>
      <c r="O238" s="828"/>
      <c r="P238" s="680"/>
    </row>
    <row r="239" spans="1:19" ht="12.75" customHeight="1">
      <c r="B239" s="678" t="s">
        <v>604</v>
      </c>
      <c r="H239" s="686" t="s">
        <v>10</v>
      </c>
      <c r="I239" s="807">
        <f>ROUND(IF([3]เมนู!$S$10=2,[3]ค่าเสื่อมราคา!H36,[3]ค่าเสื่อมราคา!G36),2)</f>
        <v>6.85</v>
      </c>
      <c r="J239" s="686" t="s">
        <v>115</v>
      </c>
      <c r="K239" s="691"/>
      <c r="M239" s="857" t="s">
        <v>723</v>
      </c>
      <c r="N239" s="858" t="s">
        <v>724</v>
      </c>
      <c r="O239" s="831"/>
      <c r="P239" s="680"/>
    </row>
    <row r="240" spans="1:19" ht="12.75" customHeight="1">
      <c r="B240" s="678" t="s">
        <v>633</v>
      </c>
      <c r="D240" s="804"/>
      <c r="H240" s="686" t="s">
        <v>10</v>
      </c>
      <c r="I240" s="812" t="e">
        <f>ROUND(SUM(I238:I239),2)</f>
        <v>#REF!</v>
      </c>
      <c r="J240" s="686" t="s">
        <v>115</v>
      </c>
      <c r="K240" s="691"/>
      <c r="M240" s="678"/>
      <c r="N240" s="679"/>
      <c r="P240" s="680"/>
    </row>
    <row r="241" spans="1:16" ht="12.75" customHeight="1">
      <c r="A241" s="688" t="s">
        <v>725</v>
      </c>
      <c r="H241" s="686"/>
      <c r="I241" s="807"/>
      <c r="J241" s="686"/>
      <c r="K241" s="691"/>
      <c r="M241" s="678"/>
      <c r="N241" s="679"/>
      <c r="P241" s="680"/>
    </row>
    <row r="242" spans="1:16" ht="12.75" customHeight="1">
      <c r="A242" s="688" t="s">
        <v>726</v>
      </c>
      <c r="H242" s="686"/>
      <c r="I242" s="807"/>
      <c r="J242" s="686"/>
      <c r="K242" s="691"/>
      <c r="M242" s="678"/>
      <c r="N242" s="679"/>
      <c r="P242" s="680"/>
    </row>
    <row r="243" spans="1:16" ht="12.75" customHeight="1">
      <c r="A243" s="688"/>
      <c r="H243" s="686"/>
      <c r="I243" s="807"/>
      <c r="J243" s="686"/>
      <c r="K243" s="691"/>
      <c r="M243" s="678"/>
      <c r="N243" s="679"/>
      <c r="P243" s="680"/>
    </row>
    <row r="244" spans="1:16" ht="12.75" customHeight="1">
      <c r="A244" s="688"/>
      <c r="B244" s="859" t="s">
        <v>727</v>
      </c>
      <c r="C244" s="859" t="s">
        <v>728</v>
      </c>
      <c r="D244" s="859" t="s">
        <v>729</v>
      </c>
      <c r="E244" s="859" t="s">
        <v>730</v>
      </c>
      <c r="H244" s="686"/>
      <c r="I244" s="807"/>
      <c r="J244" s="686"/>
      <c r="K244" s="691"/>
      <c r="M244" s="678"/>
      <c r="N244" s="679"/>
      <c r="P244" s="680"/>
    </row>
    <row r="245" spans="1:16" ht="12.75" customHeight="1">
      <c r="A245" s="688"/>
      <c r="B245" s="859" t="s">
        <v>72</v>
      </c>
      <c r="C245" s="860">
        <f>TRUNC(IF([3]เมนู!$S$10=1,[3]ค่าเสื่อมราคา!G38,0),2)</f>
        <v>15.75</v>
      </c>
      <c r="D245" s="860">
        <f>TRUNC(IF([3]เมนู!$S$10=1,[3]ค่าเสื่อมราคา!G73,0),2)</f>
        <v>2.68</v>
      </c>
      <c r="E245" s="860">
        <f>TRUNC(IF([3]เมนู!$S$10=1,[3]ค่าเสื่อมราคา!G72,0),2)</f>
        <v>11.93</v>
      </c>
      <c r="H245" s="686"/>
      <c r="I245" s="807"/>
      <c r="J245" s="686"/>
      <c r="K245" s="691"/>
      <c r="M245" s="678"/>
      <c r="N245" s="679"/>
      <c r="P245" s="680"/>
    </row>
    <row r="246" spans="1:16" ht="12.75" customHeight="1">
      <c r="A246" s="688"/>
      <c r="B246" s="859" t="s">
        <v>69</v>
      </c>
      <c r="C246" s="860">
        <f>TRUNC(IF([3]เมนู!$S$10=2,[3]ค่าเสื่อมราคา!H38,0),2)</f>
        <v>0</v>
      </c>
      <c r="D246" s="860">
        <f>TRUNC(IF([3]เมนู!$S$10=2,[3]ค่าเสื่อมราคา!H73,0),2)</f>
        <v>0</v>
      </c>
      <c r="E246" s="860">
        <f>TRUNC(IF([3]เมนู!$S$10=2,[3]ค่าเสื่อมราคา!H72,0),2)</f>
        <v>0</v>
      </c>
      <c r="H246" s="686"/>
      <c r="I246" s="807"/>
      <c r="J246" s="686"/>
      <c r="K246" s="691"/>
      <c r="M246" s="678"/>
      <c r="N246" s="679"/>
      <c r="P246" s="680"/>
    </row>
    <row r="247" spans="1:16" ht="12.75" customHeight="1">
      <c r="B247" s="678" t="s">
        <v>731</v>
      </c>
      <c r="H247" s="686" t="s">
        <v>10</v>
      </c>
      <c r="I247" s="807">
        <f>[3]ข้อมูลโครงการ!$Q$3</f>
        <v>4.8179999999999996</v>
      </c>
      <c r="J247" s="686" t="s">
        <v>37</v>
      </c>
      <c r="K247" s="691" t="s">
        <v>732</v>
      </c>
      <c r="M247" s="678"/>
      <c r="N247" s="679"/>
      <c r="P247" s="680"/>
    </row>
    <row r="248" spans="1:16" ht="12.75" customHeight="1">
      <c r="B248" s="678" t="s">
        <v>733</v>
      </c>
      <c r="H248" s="686" t="s">
        <v>10</v>
      </c>
      <c r="I248" s="807">
        <f>$R$233</f>
        <v>1</v>
      </c>
      <c r="J248" s="686" t="s">
        <v>37</v>
      </c>
      <c r="K248" s="691"/>
      <c r="M248" s="678"/>
      <c r="N248" s="679"/>
      <c r="P248" s="680"/>
    </row>
    <row r="249" spans="1:16" ht="12.75" customHeight="1">
      <c r="B249" s="678" t="s">
        <v>734</v>
      </c>
      <c r="F249" s="690"/>
      <c r="H249" s="686" t="s">
        <v>10</v>
      </c>
      <c r="I249" s="861">
        <f>VLOOKUP($I$248,oil,3)</f>
        <v>8.93</v>
      </c>
      <c r="J249" s="686" t="s">
        <v>3</v>
      </c>
      <c r="K249" s="862"/>
      <c r="L249" s="863"/>
      <c r="M249" s="863"/>
      <c r="N249" s="864"/>
      <c r="O249" s="863"/>
      <c r="P249" s="863"/>
    </row>
    <row r="250" spans="1:16" ht="12.75" customHeight="1">
      <c r="B250" s="678" t="s">
        <v>735</v>
      </c>
      <c r="H250" s="686" t="s">
        <v>10</v>
      </c>
      <c r="I250" s="865">
        <f>VLOOKUP($I$248,oil,3)</f>
        <v>8.93</v>
      </c>
      <c r="J250" s="686" t="s">
        <v>3</v>
      </c>
      <c r="K250" s="691"/>
      <c r="M250" s="678"/>
      <c r="N250" s="679"/>
      <c r="P250" s="680"/>
    </row>
    <row r="251" spans="1:16" ht="12.75" customHeight="1">
      <c r="B251" s="678" t="s">
        <v>736</v>
      </c>
      <c r="H251" s="686"/>
      <c r="I251" s="807"/>
      <c r="J251" s="686"/>
      <c r="K251" s="691"/>
      <c r="M251" s="678"/>
      <c r="N251" s="679"/>
      <c r="P251" s="680"/>
    </row>
    <row r="252" spans="1:16" ht="12.75" customHeight="1">
      <c r="B252" s="678" t="s">
        <v>737</v>
      </c>
      <c r="H252" s="686" t="s">
        <v>10</v>
      </c>
      <c r="I252" s="796" t="e">
        <f>I223+I217</f>
        <v>#REF!</v>
      </c>
      <c r="J252" s="686" t="s">
        <v>39</v>
      </c>
      <c r="K252" s="691"/>
      <c r="M252" s="678"/>
      <c r="N252" s="679"/>
      <c r="P252" s="680"/>
    </row>
    <row r="253" spans="1:16" ht="12.75" customHeight="1">
      <c r="B253" s="678" t="s">
        <v>604</v>
      </c>
      <c r="E253" s="678"/>
      <c r="H253" s="808" t="str">
        <f>IF([3]เมนู!$S$10=2,"ฝนชุก A=","ปกติ A=")</f>
        <v>ปกติ A=</v>
      </c>
      <c r="I253" s="866">
        <f>ROUND(IF([3]เมนู!$S$10=2,+$C$246,$C$245),2)</f>
        <v>15.75</v>
      </c>
      <c r="J253" s="686" t="s">
        <v>115</v>
      </c>
      <c r="K253" s="691"/>
      <c r="M253" s="678"/>
      <c r="N253" s="679"/>
      <c r="P253" s="680"/>
    </row>
    <row r="254" spans="1:16" ht="12.75" customHeight="1">
      <c r="B254" s="678" t="s">
        <v>738</v>
      </c>
      <c r="E254" s="808"/>
      <c r="F254" s="867"/>
      <c r="H254" s="686" t="s">
        <v>10</v>
      </c>
      <c r="I254" s="807" t="e">
        <f>ROUND(0.01286*I223+0.00123*I217+0.01222*$I$250,2)</f>
        <v>#REF!</v>
      </c>
      <c r="J254" s="686" t="s">
        <v>115</v>
      </c>
      <c r="K254" s="691"/>
      <c r="M254" s="678"/>
      <c r="N254" s="679"/>
      <c r="P254" s="680"/>
    </row>
    <row r="255" spans="1:16" ht="12.75" customHeight="1">
      <c r="B255" s="678" t="s">
        <v>739</v>
      </c>
      <c r="E255" s="808"/>
      <c r="F255" s="867"/>
      <c r="H255" s="686" t="s">
        <v>10</v>
      </c>
      <c r="I255" s="807" t="e">
        <f>I253+I254</f>
        <v>#REF!</v>
      </c>
      <c r="J255" s="686" t="s">
        <v>115</v>
      </c>
      <c r="K255" s="691"/>
      <c r="M255" s="678"/>
      <c r="N255" s="679"/>
      <c r="P255" s="680"/>
    </row>
    <row r="256" spans="1:16" ht="12.75" customHeight="1">
      <c r="B256" s="678" t="s">
        <v>740</v>
      </c>
      <c r="H256" s="686"/>
      <c r="I256" s="807"/>
      <c r="J256" s="686"/>
      <c r="K256" s="691"/>
      <c r="M256" s="678"/>
      <c r="N256" s="679"/>
      <c r="P256" s="680"/>
    </row>
    <row r="257" spans="1:16" ht="12.75" customHeight="1">
      <c r="B257" s="678" t="s">
        <v>741</v>
      </c>
      <c r="H257" s="686" t="s">
        <v>10</v>
      </c>
      <c r="I257" s="807" t="e">
        <f>I218</f>
        <v>#REF!</v>
      </c>
      <c r="J257" s="686" t="s">
        <v>39</v>
      </c>
      <c r="K257" s="691"/>
      <c r="M257" s="678"/>
      <c r="N257" s="679"/>
      <c r="P257" s="680"/>
    </row>
    <row r="258" spans="1:16" ht="12.75" customHeight="1">
      <c r="B258" s="678" t="s">
        <v>604</v>
      </c>
      <c r="H258" s="808" t="str">
        <f>IF([3]เมนู!$S$10=2,"ฝนชุก B=","ปกติ B=")</f>
        <v>ปกติ B=</v>
      </c>
      <c r="I258" s="866">
        <f>ROUND(IF([3]เมนู!$S$10=2,+$D$246,$D$245),2)</f>
        <v>2.68</v>
      </c>
      <c r="J258" s="686" t="s">
        <v>115</v>
      </c>
      <c r="K258" s="691"/>
      <c r="M258" s="678"/>
      <c r="N258" s="679"/>
      <c r="P258" s="680"/>
    </row>
    <row r="259" spans="1:16" ht="12.75" customHeight="1">
      <c r="B259" s="678" t="s">
        <v>742</v>
      </c>
      <c r="E259" s="808"/>
      <c r="F259" s="867"/>
      <c r="H259" s="686" t="s">
        <v>10</v>
      </c>
      <c r="I259" s="807" t="e">
        <f>ROUND(0.00031*I218,2)</f>
        <v>#REF!</v>
      </c>
      <c r="J259" s="686" t="s">
        <v>115</v>
      </c>
      <c r="K259" s="691"/>
      <c r="M259" s="678"/>
      <c r="N259" s="679"/>
      <c r="P259" s="680"/>
    </row>
    <row r="260" spans="1:16" ht="12.75" customHeight="1">
      <c r="B260" s="678" t="s">
        <v>743</v>
      </c>
      <c r="E260" s="808"/>
      <c r="F260" s="867"/>
      <c r="H260" s="686" t="s">
        <v>10</v>
      </c>
      <c r="I260" s="807" t="e">
        <f>I258+I259</f>
        <v>#REF!</v>
      </c>
      <c r="J260" s="686" t="s">
        <v>115</v>
      </c>
      <c r="K260" s="691"/>
      <c r="M260" s="678"/>
      <c r="N260" s="679"/>
      <c r="P260" s="680"/>
    </row>
    <row r="261" spans="1:16" ht="12.75" customHeight="1">
      <c r="B261" s="678" t="s">
        <v>744</v>
      </c>
      <c r="H261" s="686"/>
      <c r="I261" s="807"/>
      <c r="J261" s="686"/>
      <c r="K261" s="691"/>
      <c r="M261" s="678"/>
      <c r="N261" s="679"/>
      <c r="P261" s="680"/>
    </row>
    <row r="262" spans="1:16" ht="12.75" customHeight="1">
      <c r="B262" s="678" t="s">
        <v>737</v>
      </c>
      <c r="H262" s="686" t="s">
        <v>10</v>
      </c>
      <c r="I262" s="796" t="e">
        <f>I219+I224</f>
        <v>#REF!</v>
      </c>
      <c r="J262" s="686" t="s">
        <v>39</v>
      </c>
      <c r="K262" s="691"/>
      <c r="M262" s="678"/>
      <c r="N262" s="679"/>
      <c r="P262" s="680"/>
    </row>
    <row r="263" spans="1:16" ht="12.75" customHeight="1">
      <c r="B263" s="678" t="s">
        <v>604</v>
      </c>
      <c r="H263" s="808" t="str">
        <f>IF([3]เมนู!$S$10=2,"ฝนชุก C=","ปกติ C=")</f>
        <v>ปกติ C=</v>
      </c>
      <c r="I263" s="866">
        <f>ROUND(IF([3]เมนู!$S$10=2,+$E$246,$E$245),2)</f>
        <v>11.93</v>
      </c>
      <c r="J263" s="686" t="s">
        <v>115</v>
      </c>
      <c r="K263" s="691"/>
      <c r="M263" s="678"/>
      <c r="N263" s="679"/>
      <c r="P263" s="680"/>
    </row>
    <row r="264" spans="1:16" ht="12.75" customHeight="1">
      <c r="B264" s="678" t="s">
        <v>745</v>
      </c>
      <c r="H264" s="686" t="s">
        <v>10</v>
      </c>
      <c r="I264" s="834" t="e">
        <f>ROUND((527.7+1.2155*I224+0.25779*I219+1.85*$I$250)*1/185,2)</f>
        <v>#REF!</v>
      </c>
      <c r="J264" s="686" t="s">
        <v>115</v>
      </c>
      <c r="K264" s="691"/>
      <c r="M264" s="678"/>
      <c r="N264" s="679"/>
      <c r="P264" s="680"/>
    </row>
    <row r="265" spans="1:16" ht="12.75" customHeight="1">
      <c r="B265" s="678" t="s">
        <v>746</v>
      </c>
      <c r="H265" s="686" t="s">
        <v>10</v>
      </c>
      <c r="I265" s="834" t="e">
        <f>I263+I264</f>
        <v>#REF!</v>
      </c>
      <c r="J265" s="686" t="s">
        <v>115</v>
      </c>
      <c r="K265" s="691"/>
      <c r="M265" s="678"/>
      <c r="N265" s="679"/>
      <c r="P265" s="680"/>
    </row>
    <row r="266" spans="1:16" ht="12.75" customHeight="1">
      <c r="B266" s="678" t="s">
        <v>747</v>
      </c>
      <c r="H266" s="686" t="s">
        <v>10</v>
      </c>
      <c r="I266" s="837" t="e">
        <f>I254+I259+I264</f>
        <v>#REF!</v>
      </c>
      <c r="J266" s="686" t="s">
        <v>115</v>
      </c>
      <c r="K266" s="691"/>
      <c r="M266" s="678"/>
      <c r="N266" s="679"/>
      <c r="P266" s="680"/>
    </row>
    <row r="267" spans="1:16" ht="12.75" customHeight="1">
      <c r="A267" s="688" t="s">
        <v>748</v>
      </c>
      <c r="H267" s="686"/>
      <c r="I267" s="807"/>
      <c r="J267" s="686"/>
      <c r="K267" s="691"/>
      <c r="M267" s="678"/>
      <c r="N267" s="679"/>
      <c r="P267" s="680"/>
    </row>
    <row r="268" spans="1:16" ht="12.75" customHeight="1">
      <c r="A268" s="678" t="s">
        <v>749</v>
      </c>
      <c r="H268" s="686"/>
      <c r="I268" s="807"/>
      <c r="J268" s="686"/>
      <c r="K268" s="691"/>
      <c r="M268" s="678"/>
      <c r="N268" s="679"/>
      <c r="P268" s="680"/>
    </row>
    <row r="269" spans="1:16" ht="12.75" customHeight="1">
      <c r="A269" s="868" t="s">
        <v>750</v>
      </c>
      <c r="C269" s="869"/>
      <c r="D269" s="870"/>
      <c r="E269" s="803"/>
      <c r="F269" s="802"/>
      <c r="H269" s="871"/>
      <c r="I269" s="872"/>
      <c r="J269" s="871"/>
      <c r="K269" s="873"/>
      <c r="M269" s="678"/>
      <c r="N269" s="679"/>
      <c r="P269" s="680"/>
    </row>
    <row r="270" spans="1:16" ht="20.25">
      <c r="A270" s="874"/>
      <c r="B270" s="875" t="s">
        <v>751</v>
      </c>
      <c r="C270" s="876"/>
      <c r="D270" s="877"/>
      <c r="E270" s="803"/>
      <c r="F270" s="802"/>
      <c r="H270" s="803"/>
      <c r="I270" s="878"/>
      <c r="J270" s="879"/>
      <c r="K270" s="876"/>
      <c r="M270" s="678"/>
      <c r="N270" s="679"/>
      <c r="P270" s="680"/>
    </row>
    <row r="271" spans="1:16" ht="12.75" customHeight="1">
      <c r="A271" s="874"/>
      <c r="B271" s="802" t="s">
        <v>752</v>
      </c>
      <c r="C271" s="802"/>
      <c r="D271" s="880"/>
      <c r="E271" s="803"/>
      <c r="F271" s="802"/>
      <c r="H271" s="879" t="s">
        <v>10</v>
      </c>
      <c r="I271" s="881">
        <f>ROUND(0.7445*(D18+I18),2)</f>
        <v>532.28</v>
      </c>
      <c r="J271" s="879" t="s">
        <v>7</v>
      </c>
      <c r="K271" s="876"/>
      <c r="M271" s="678"/>
      <c r="N271" s="679"/>
      <c r="P271" s="680"/>
    </row>
    <row r="272" spans="1:16" ht="12.75" customHeight="1">
      <c r="A272" s="874"/>
      <c r="B272" s="802" t="s">
        <v>254</v>
      </c>
      <c r="C272" s="802"/>
      <c r="D272" s="880"/>
      <c r="E272" s="803"/>
      <c r="F272" s="802"/>
      <c r="H272" s="879" t="s">
        <v>10</v>
      </c>
      <c r="I272" s="882" t="e">
        <f>ROUND(0.052*($I$220),2)</f>
        <v>#REF!</v>
      </c>
      <c r="J272" s="879" t="s">
        <v>7</v>
      </c>
      <c r="K272" s="876"/>
      <c r="M272" s="678"/>
      <c r="N272" s="679"/>
      <c r="P272" s="680"/>
    </row>
    <row r="273" spans="1:18" ht="12.75" customHeight="1">
      <c r="A273" s="874"/>
      <c r="B273" s="802" t="s">
        <v>753</v>
      </c>
      <c r="C273" s="802"/>
      <c r="D273" s="802"/>
      <c r="E273" s="803"/>
      <c r="F273" s="802"/>
      <c r="H273" s="879" t="s">
        <v>10</v>
      </c>
      <c r="I273" s="883">
        <f>ROUND([3]ค่าเสื่อมราคา!G48,2)</f>
        <v>382.78</v>
      </c>
      <c r="J273" s="879" t="s">
        <v>7</v>
      </c>
      <c r="M273" s="678"/>
      <c r="N273" s="679"/>
      <c r="P273" s="680"/>
    </row>
    <row r="274" spans="1:18" ht="12.75" customHeight="1">
      <c r="A274" s="874"/>
      <c r="B274" s="884" t="s">
        <v>754</v>
      </c>
      <c r="C274" s="802"/>
      <c r="D274" s="802"/>
      <c r="E274" s="803"/>
      <c r="F274" s="802"/>
      <c r="H274" s="879" t="s">
        <v>10</v>
      </c>
      <c r="I274" s="881" t="e">
        <f>ROUND(I216*(SUM(I271:I273)),2)</f>
        <v>#REF!</v>
      </c>
      <c r="J274" s="879" t="s">
        <v>7</v>
      </c>
      <c r="M274" s="678"/>
      <c r="N274" s="679"/>
      <c r="P274" s="680"/>
    </row>
    <row r="275" spans="1:18" ht="12.75" customHeight="1">
      <c r="A275" s="874"/>
      <c r="B275" s="876" t="s">
        <v>755</v>
      </c>
      <c r="C275" s="876"/>
      <c r="D275" s="880">
        <f>F48</f>
        <v>1</v>
      </c>
      <c r="E275" s="803" t="s">
        <v>37</v>
      </c>
      <c r="F275" s="802"/>
      <c r="H275" s="879" t="s">
        <v>10</v>
      </c>
      <c r="I275" s="883" t="str">
        <f>I48</f>
        <v>6.38</v>
      </c>
      <c r="J275" s="879" t="s">
        <v>7</v>
      </c>
      <c r="M275" s="678"/>
      <c r="N275" s="679"/>
      <c r="P275" s="680"/>
    </row>
    <row r="276" spans="1:18" ht="12.75" customHeight="1">
      <c r="A276" s="874"/>
      <c r="B276" s="802" t="s">
        <v>756</v>
      </c>
      <c r="C276" s="802"/>
      <c r="D276" s="880"/>
      <c r="E276" s="803"/>
      <c r="F276" s="880"/>
      <c r="H276" s="879" t="s">
        <v>10</v>
      </c>
      <c r="I276" s="883" t="e">
        <f>I274+I275</f>
        <v>#REF!</v>
      </c>
      <c r="J276" s="879" t="s">
        <v>7</v>
      </c>
      <c r="M276" s="678"/>
      <c r="N276" s="679"/>
      <c r="P276" s="680"/>
    </row>
    <row r="277" spans="1:18" ht="12.75" customHeight="1">
      <c r="A277" s="802"/>
      <c r="B277" s="869" t="s">
        <v>757</v>
      </c>
      <c r="D277" s="885">
        <v>4</v>
      </c>
      <c r="E277" s="871" t="s">
        <v>182</v>
      </c>
      <c r="F277" s="869"/>
      <c r="H277" s="871" t="s">
        <v>10</v>
      </c>
      <c r="I277" s="886" t="e">
        <f>ROUND(0.024*I276*D277,2)</f>
        <v>#REF!</v>
      </c>
      <c r="J277" s="871" t="s">
        <v>758</v>
      </c>
      <c r="M277" s="678"/>
      <c r="N277" s="679"/>
      <c r="P277" s="680"/>
    </row>
    <row r="278" spans="1:18" ht="12.75" customHeight="1">
      <c r="A278" s="868" t="s">
        <v>759</v>
      </c>
      <c r="B278" s="833"/>
      <c r="C278" s="869"/>
      <c r="D278" s="870"/>
      <c r="E278" s="803"/>
      <c r="F278" s="802"/>
      <c r="H278" s="803"/>
      <c r="I278" s="878"/>
      <c r="J278" s="879"/>
      <c r="K278" s="876"/>
      <c r="M278" s="678"/>
      <c r="N278" s="679"/>
      <c r="P278" s="680"/>
    </row>
    <row r="279" spans="1:18" ht="12.75" customHeight="1">
      <c r="A279" s="868"/>
      <c r="B279" s="802" t="s">
        <v>760</v>
      </c>
      <c r="C279" s="869"/>
      <c r="D279" s="870"/>
      <c r="E279" s="803"/>
      <c r="F279" s="802"/>
      <c r="H279" s="871" t="s">
        <v>10</v>
      </c>
      <c r="I279" s="887">
        <f>ROUND(SUM([3]ปร4!G38:G40)/E291,2)</f>
        <v>4938.1000000000004</v>
      </c>
      <c r="J279" s="879" t="s">
        <v>88</v>
      </c>
      <c r="K279" s="680">
        <v>0</v>
      </c>
      <c r="M279" s="678"/>
      <c r="N279" s="679"/>
      <c r="P279" s="680"/>
    </row>
    <row r="280" spans="1:18" ht="12.75" customHeight="1">
      <c r="A280" s="802"/>
      <c r="B280" s="888" t="s">
        <v>761</v>
      </c>
      <c r="C280" s="802"/>
      <c r="D280" s="880"/>
      <c r="E280" s="889" t="str">
        <f>[3]Oil!$C$204 &amp;" บาท/ตัน"</f>
        <v>429.71 บาท/ตัน</v>
      </c>
      <c r="H280" s="879" t="s">
        <v>10</v>
      </c>
      <c r="I280" s="890" t="str">
        <f>[3]Oil!$F$204</f>
        <v>261.01</v>
      </c>
      <c r="J280" s="879" t="s">
        <v>7</v>
      </c>
      <c r="K280" s="680" t="s">
        <v>762</v>
      </c>
      <c r="M280" s="678"/>
      <c r="N280" s="679"/>
      <c r="P280" s="680"/>
    </row>
    <row r="281" spans="1:18" ht="12.75" customHeight="1">
      <c r="A281" s="802"/>
      <c r="B281" s="802"/>
      <c r="C281" s="802"/>
      <c r="D281" s="880"/>
      <c r="E281" s="803" t="s">
        <v>763</v>
      </c>
      <c r="F281" s="891"/>
      <c r="H281" s="879" t="s">
        <v>10</v>
      </c>
      <c r="I281" s="890">
        <f>($I$280+80)*(80)</f>
        <v>27280.799999999999</v>
      </c>
      <c r="J281" s="879" t="s">
        <v>764</v>
      </c>
      <c r="K281" s="680">
        <v>1</v>
      </c>
      <c r="M281" s="678"/>
      <c r="N281" s="679"/>
      <c r="P281" s="680"/>
    </row>
    <row r="282" spans="1:18" ht="12.75" customHeight="1">
      <c r="A282" s="802"/>
      <c r="B282" s="802" t="s">
        <v>765</v>
      </c>
      <c r="C282" s="802"/>
      <c r="D282" s="880"/>
      <c r="E282" s="803"/>
      <c r="F282" s="802"/>
      <c r="H282" s="879" t="s">
        <v>10</v>
      </c>
      <c r="I282" s="892">
        <v>250000</v>
      </c>
      <c r="J282" s="879" t="s">
        <v>39</v>
      </c>
      <c r="K282" s="680">
        <v>2</v>
      </c>
      <c r="M282" s="678"/>
      <c r="N282" s="679"/>
      <c r="P282" s="680"/>
    </row>
    <row r="283" spans="1:18" ht="12.75" customHeight="1">
      <c r="A283" s="802"/>
      <c r="B283" s="802" t="s">
        <v>766</v>
      </c>
      <c r="C283" s="802"/>
      <c r="D283" s="880"/>
      <c r="E283" s="803"/>
      <c r="F283" s="802"/>
      <c r="H283" s="879" t="s">
        <v>10</v>
      </c>
      <c r="I283" s="883">
        <f>ROUND(((I281/I279)+(I282/10000)),2)</f>
        <v>30.52</v>
      </c>
      <c r="J283" s="879" t="s">
        <v>7</v>
      </c>
      <c r="K283" s="678" t="s">
        <v>767</v>
      </c>
      <c r="M283" s="678"/>
      <c r="N283" s="679"/>
      <c r="P283" s="680"/>
    </row>
    <row r="284" spans="1:18" ht="12.75" customHeight="1">
      <c r="A284" s="802"/>
      <c r="B284" s="893" t="s">
        <v>768</v>
      </c>
      <c r="C284" s="802"/>
      <c r="D284" s="880"/>
      <c r="E284" s="803"/>
      <c r="F284" s="802"/>
      <c r="H284" s="879"/>
      <c r="I284" s="883"/>
      <c r="J284" s="879"/>
      <c r="M284" s="678"/>
      <c r="N284" s="679"/>
      <c r="P284" s="680"/>
    </row>
    <row r="285" spans="1:18" ht="12.75" customHeight="1">
      <c r="A285" s="802"/>
      <c r="B285" s="802" t="s">
        <v>769</v>
      </c>
      <c r="C285" s="802"/>
      <c r="D285" s="880"/>
      <c r="E285" s="803"/>
      <c r="F285" s="802"/>
      <c r="H285" s="879" t="s">
        <v>10</v>
      </c>
      <c r="I285" s="881">
        <f>ROUND(0.74 *(D18+I18),2)</f>
        <v>529.05999999999995</v>
      </c>
      <c r="J285" s="879" t="s">
        <v>7</v>
      </c>
      <c r="K285" s="680">
        <v>4</v>
      </c>
      <c r="M285" s="678" t="s">
        <v>770</v>
      </c>
      <c r="N285" s="679"/>
      <c r="P285" s="680"/>
    </row>
    <row r="286" spans="1:18" ht="12.75" customHeight="1">
      <c r="A286" s="802"/>
      <c r="B286" s="802" t="s">
        <v>254</v>
      </c>
      <c r="C286" s="802"/>
      <c r="D286" s="880"/>
      <c r="E286" s="803"/>
      <c r="F286" s="802"/>
      <c r="H286" s="879" t="s">
        <v>10</v>
      </c>
      <c r="I286" s="882" t="e">
        <f>ROUND(0.052*($I$220),2)</f>
        <v>#REF!</v>
      </c>
      <c r="J286" s="879" t="s">
        <v>7</v>
      </c>
      <c r="K286" s="680">
        <v>5</v>
      </c>
      <c r="M286" s="678" t="s">
        <v>757</v>
      </c>
      <c r="N286" s="679" t="s">
        <v>771</v>
      </c>
      <c r="O286" s="680" t="s">
        <v>72</v>
      </c>
      <c r="P286" s="680" t="s">
        <v>772</v>
      </c>
      <c r="Q286" s="678" t="s">
        <v>773</v>
      </c>
    </row>
    <row r="287" spans="1:18" ht="12.75" customHeight="1">
      <c r="A287" s="802"/>
      <c r="B287" s="802" t="s">
        <v>753</v>
      </c>
      <c r="C287" s="802"/>
      <c r="D287" s="880"/>
      <c r="E287" s="803"/>
      <c r="F287" s="802"/>
      <c r="H287" s="879" t="s">
        <v>10</v>
      </c>
      <c r="I287" s="883">
        <f>ROUND([3]ค่าเสื่อมราคา!G48,2)</f>
        <v>382.78</v>
      </c>
      <c r="J287" s="879" t="s">
        <v>7</v>
      </c>
      <c r="K287" s="680">
        <v>6</v>
      </c>
      <c r="M287" s="680">
        <v>2.5</v>
      </c>
      <c r="N287" s="680">
        <v>0.75</v>
      </c>
      <c r="O287" s="894">
        <f t="shared" ref="O287:O295" si="7">N287*$Q$287</f>
        <v>10.68</v>
      </c>
      <c r="P287" s="894">
        <f t="shared" ref="P287:P295" si="8">N287*$Q$288</f>
        <v>8.3849999999999998</v>
      </c>
      <c r="Q287" s="895">
        <f>IF([3]เมนู!$S$10=1,[3]ค่าเสื่อมราคา!G52,[3]ค่าเสื่อมราคา!G52)</f>
        <v>14.24</v>
      </c>
      <c r="R287" s="873"/>
    </row>
    <row r="288" spans="1:18" ht="12.75" customHeight="1">
      <c r="A288" s="802"/>
      <c r="B288" s="802" t="s">
        <v>774</v>
      </c>
      <c r="C288" s="802"/>
      <c r="D288" s="880">
        <f>F47</f>
        <v>1</v>
      </c>
      <c r="E288" s="803" t="s">
        <v>37</v>
      </c>
      <c r="H288" s="879" t="s">
        <v>10</v>
      </c>
      <c r="I288" s="883" t="str">
        <f>I47</f>
        <v>6.38</v>
      </c>
      <c r="J288" s="879" t="s">
        <v>7</v>
      </c>
      <c r="K288" s="680">
        <v>7</v>
      </c>
      <c r="M288" s="680">
        <v>3</v>
      </c>
      <c r="N288" s="680">
        <v>0.8</v>
      </c>
      <c r="O288" s="894">
        <f t="shared" si="7"/>
        <v>11.392000000000001</v>
      </c>
      <c r="P288" s="894">
        <f t="shared" si="8"/>
        <v>8.9440000000000008</v>
      </c>
      <c r="Q288" s="895">
        <f>IF([3]เมนู!$S$10=1,[3]ค่าเสื่อมราคา!G53,[3]ค่าเสื่อมราคา!G53)</f>
        <v>11.18</v>
      </c>
      <c r="R288" s="873"/>
    </row>
    <row r="289" spans="1:17" ht="12.75" customHeight="1">
      <c r="A289" s="802"/>
      <c r="B289" s="802" t="s">
        <v>775</v>
      </c>
      <c r="C289" s="802"/>
      <c r="D289" s="880"/>
      <c r="E289" s="803"/>
      <c r="F289" s="802"/>
      <c r="H289" s="879" t="s">
        <v>10</v>
      </c>
      <c r="I289" s="883" t="e">
        <f>(I287+I285+I286+I288)</f>
        <v>#REF!</v>
      </c>
      <c r="J289" s="879" t="s">
        <v>7</v>
      </c>
      <c r="K289" s="680" t="s">
        <v>776</v>
      </c>
      <c r="M289" s="680">
        <v>4</v>
      </c>
      <c r="N289" s="680">
        <v>0.9</v>
      </c>
      <c r="O289" s="894">
        <f t="shared" si="7"/>
        <v>12.816000000000001</v>
      </c>
      <c r="P289" s="894">
        <f t="shared" si="8"/>
        <v>10.061999999999999</v>
      </c>
    </row>
    <row r="290" spans="1:17" ht="12.75" customHeight="1">
      <c r="A290" s="802"/>
      <c r="B290" s="802" t="s">
        <v>777</v>
      </c>
      <c r="C290" s="802"/>
      <c r="D290" s="880"/>
      <c r="E290" s="803"/>
      <c r="F290" s="802"/>
      <c r="H290" s="879" t="s">
        <v>10</v>
      </c>
      <c r="I290" s="883" t="e">
        <f>I289+I283</f>
        <v>#REF!</v>
      </c>
      <c r="J290" s="879" t="s">
        <v>7</v>
      </c>
      <c r="K290" s="680" t="s">
        <v>778</v>
      </c>
      <c r="M290" s="680">
        <v>5</v>
      </c>
      <c r="N290" s="680">
        <v>1</v>
      </c>
      <c r="O290" s="894">
        <f t="shared" si="7"/>
        <v>14.24</v>
      </c>
      <c r="P290" s="894">
        <f t="shared" si="8"/>
        <v>11.18</v>
      </c>
    </row>
    <row r="291" spans="1:17" ht="12.75" customHeight="1">
      <c r="A291" s="802"/>
      <c r="B291" s="802" t="s">
        <v>779</v>
      </c>
      <c r="C291" s="896">
        <f>+D277</f>
        <v>4</v>
      </c>
      <c r="D291" s="897" t="s">
        <v>780</v>
      </c>
      <c r="E291" s="898">
        <f>41.667/C291</f>
        <v>10.41675</v>
      </c>
      <c r="F291" s="880" t="s">
        <v>50</v>
      </c>
      <c r="H291" s="879" t="s">
        <v>10</v>
      </c>
      <c r="I291" s="899" t="e">
        <f>ROUND(I290/E291,2)</f>
        <v>#REF!</v>
      </c>
      <c r="J291" s="879" t="s">
        <v>115</v>
      </c>
      <c r="M291" s="680">
        <v>6</v>
      </c>
      <c r="N291" s="680">
        <v>1.6</v>
      </c>
      <c r="O291" s="894">
        <f t="shared" si="7"/>
        <v>22.784000000000002</v>
      </c>
      <c r="P291" s="894">
        <f t="shared" si="8"/>
        <v>17.888000000000002</v>
      </c>
    </row>
    <row r="292" spans="1:17" ht="12.75" customHeight="1">
      <c r="A292" s="802"/>
      <c r="B292" s="900" t="s">
        <v>781</v>
      </c>
      <c r="C292" s="900"/>
      <c r="D292" s="900"/>
      <c r="E292" s="895"/>
      <c r="F292" s="901"/>
      <c r="H292" s="902" t="s">
        <v>10</v>
      </c>
      <c r="I292" s="903">
        <f>ROUND(IF(C291=3,N288,IF(C291=4,N289,IF(C291=5,N290,IF(C291=6,N291,IF(C291=7,N292,IF(C291=8,N293,IF(C291=9,N294,N295)))))))*Q287,2)</f>
        <v>12.82</v>
      </c>
      <c r="J292" s="900" t="s">
        <v>758</v>
      </c>
      <c r="M292" s="680">
        <v>7</v>
      </c>
      <c r="N292" s="680">
        <v>1.7</v>
      </c>
      <c r="O292" s="894">
        <f t="shared" si="7"/>
        <v>24.207999999999998</v>
      </c>
      <c r="P292" s="894">
        <f t="shared" si="8"/>
        <v>19.006</v>
      </c>
    </row>
    <row r="293" spans="1:17" ht="12.75" customHeight="1">
      <c r="A293" s="802"/>
      <c r="B293" s="900" t="s">
        <v>782</v>
      </c>
      <c r="C293" s="900"/>
      <c r="D293" s="900"/>
      <c r="E293" s="895"/>
      <c r="F293" s="901"/>
      <c r="H293" s="902" t="s">
        <v>10</v>
      </c>
      <c r="I293" s="903">
        <f>ROUND(IF(C291=3,N288,IF(C291=4,N289,IF(C291=5,N290,IF(C291=6,N291,IF(C291=7,N292,IF(C291=8,N293,IF(C291=9,N294,N295)))))))*Q288,2)</f>
        <v>10.06</v>
      </c>
      <c r="J293" s="900" t="s">
        <v>758</v>
      </c>
      <c r="M293" s="680">
        <v>8</v>
      </c>
      <c r="N293" s="680">
        <v>1.8</v>
      </c>
      <c r="O293" s="894">
        <f t="shared" si="7"/>
        <v>25.632000000000001</v>
      </c>
      <c r="P293" s="894">
        <f t="shared" si="8"/>
        <v>20.123999999999999</v>
      </c>
    </row>
    <row r="294" spans="1:17" ht="12.75" customHeight="1">
      <c r="A294" s="802"/>
      <c r="B294" s="802"/>
      <c r="C294" s="802"/>
      <c r="D294" s="904" t="str">
        <f>IF(I279&gt;10000,"ราคาแอสฟัลติกเลือกใช้ที่ปริมาณมากกว่า 10,000 ตัน","ราคาแอสฟัลติกเลือกใช้ที่ปริมาณน้อยกว่า 10,000 ตัน")</f>
        <v>ราคาแอสฟัลติกเลือกใช้ที่ปริมาณน้อยกว่า 10,000 ตัน</v>
      </c>
      <c r="E294" s="905"/>
      <c r="F294" s="906"/>
      <c r="H294" s="879" t="s">
        <v>10</v>
      </c>
      <c r="I294" s="907" t="e">
        <f>ROUND(IF((SUM([3]ปร4!C28:C33)*C291*0.024)&gt;10000,I277,IF((SUM([3]ปร4!C28:C33)*C291*0.024)&lt;10000,I291)),2)</f>
        <v>#REF!</v>
      </c>
      <c r="J294" s="879" t="s">
        <v>115</v>
      </c>
      <c r="M294" s="680">
        <v>9</v>
      </c>
      <c r="N294" s="680">
        <v>1.9</v>
      </c>
      <c r="O294" s="894">
        <f t="shared" si="7"/>
        <v>27.055999999999997</v>
      </c>
      <c r="P294" s="894">
        <f t="shared" si="8"/>
        <v>21.241999999999997</v>
      </c>
    </row>
    <row r="295" spans="1:17" ht="12.75" customHeight="1">
      <c r="A295" s="802"/>
      <c r="B295" s="802"/>
      <c r="C295" s="802"/>
      <c r="D295" s="908" t="s">
        <v>783</v>
      </c>
      <c r="E295" s="678"/>
      <c r="G295" s="678"/>
      <c r="H295" s="879" t="s">
        <v>10</v>
      </c>
      <c r="I295" s="899" t="e">
        <f>ROUND(SUM(I292+$I$294),2)</f>
        <v>#REF!</v>
      </c>
      <c r="J295" s="879" t="s">
        <v>115</v>
      </c>
      <c r="M295" s="680">
        <v>10</v>
      </c>
      <c r="N295" s="680">
        <v>2</v>
      </c>
      <c r="O295" s="894">
        <f t="shared" si="7"/>
        <v>28.48</v>
      </c>
      <c r="P295" s="894">
        <f t="shared" si="8"/>
        <v>22.36</v>
      </c>
      <c r="Q295" s="909" t="s">
        <v>784</v>
      </c>
    </row>
    <row r="296" spans="1:17" ht="12.75" customHeight="1">
      <c r="A296" s="802"/>
      <c r="B296" s="802"/>
      <c r="C296" s="802"/>
      <c r="D296" s="908" t="s">
        <v>785</v>
      </c>
      <c r="E296" s="678"/>
      <c r="G296" s="678"/>
      <c r="H296" s="879" t="s">
        <v>10</v>
      </c>
      <c r="I296" s="899" t="e">
        <f>ROUND(SUM(I293+$I$294),2)</f>
        <v>#REF!</v>
      </c>
      <c r="J296" s="879" t="s">
        <v>115</v>
      </c>
      <c r="M296" s="680"/>
      <c r="O296" s="894"/>
      <c r="P296" s="894"/>
      <c r="Q296" s="909"/>
    </row>
    <row r="297" spans="1:17" ht="12.75" customHeight="1">
      <c r="A297" s="868" t="s">
        <v>786</v>
      </c>
      <c r="C297" s="869"/>
      <c r="D297" s="869"/>
      <c r="E297" s="873"/>
      <c r="F297" s="869"/>
      <c r="H297" s="871"/>
      <c r="I297" s="872"/>
      <c r="J297" s="869"/>
      <c r="K297" s="910"/>
      <c r="L297" s="869"/>
      <c r="M297" s="678"/>
      <c r="N297" s="679"/>
      <c r="P297" s="680"/>
    </row>
    <row r="298" spans="1:17" ht="12.75" customHeight="1">
      <c r="A298" s="869"/>
      <c r="B298" s="868" t="s">
        <v>787</v>
      </c>
      <c r="C298" s="869"/>
      <c r="D298" s="869"/>
      <c r="E298" s="873"/>
      <c r="F298" s="869"/>
      <c r="H298" s="871"/>
      <c r="I298" s="872"/>
      <c r="J298" s="869"/>
      <c r="K298" s="910"/>
      <c r="L298" s="869"/>
      <c r="M298" s="678"/>
      <c r="N298" s="679"/>
      <c r="P298" s="680"/>
    </row>
    <row r="299" spans="1:17" ht="12.75" customHeight="1">
      <c r="A299" s="869"/>
      <c r="C299" s="869" t="s">
        <v>788</v>
      </c>
      <c r="D299" s="869"/>
      <c r="E299" s="873"/>
      <c r="F299" s="869"/>
      <c r="H299" s="871"/>
      <c r="I299" s="872"/>
      <c r="J299" s="869"/>
      <c r="K299" s="910"/>
      <c r="L299" s="869"/>
      <c r="M299" s="678"/>
      <c r="N299" s="679"/>
      <c r="P299" s="680"/>
    </row>
    <row r="300" spans="1:17" ht="12.75" customHeight="1">
      <c r="A300" s="869"/>
      <c r="C300" s="869" t="s">
        <v>789</v>
      </c>
      <c r="D300" s="869"/>
      <c r="E300" s="873"/>
      <c r="F300" s="869"/>
      <c r="H300" s="871" t="s">
        <v>10</v>
      </c>
      <c r="I300" s="911"/>
      <c r="J300" s="910" t="s">
        <v>115</v>
      </c>
      <c r="M300" s="678"/>
      <c r="N300" s="679"/>
      <c r="P300" s="680"/>
    </row>
    <row r="301" spans="1:17" ht="12.75" customHeight="1">
      <c r="A301" s="869"/>
      <c r="C301" s="869" t="s">
        <v>790</v>
      </c>
      <c r="D301" s="869"/>
      <c r="E301" s="873"/>
      <c r="F301" s="869"/>
      <c r="H301" s="871" t="s">
        <v>10</v>
      </c>
      <c r="I301" s="911"/>
      <c r="J301" s="910"/>
      <c r="M301" s="678"/>
      <c r="N301" s="679"/>
      <c r="P301" s="680"/>
    </row>
    <row r="302" spans="1:17" ht="12.75" customHeight="1">
      <c r="A302" s="869"/>
      <c r="C302" s="869" t="s">
        <v>791</v>
      </c>
      <c r="D302" s="869"/>
      <c r="E302" s="873"/>
      <c r="F302" s="869"/>
      <c r="H302" s="871" t="s">
        <v>10</v>
      </c>
      <c r="I302" s="911"/>
      <c r="J302" s="910" t="s">
        <v>517</v>
      </c>
      <c r="M302" s="678"/>
      <c r="N302" s="679"/>
      <c r="P302" s="680"/>
    </row>
    <row r="303" spans="1:17" ht="12.75" customHeight="1">
      <c r="A303" s="869"/>
      <c r="C303" s="869" t="s">
        <v>792</v>
      </c>
      <c r="D303" s="869"/>
      <c r="E303" s="873"/>
      <c r="F303" s="869"/>
      <c r="H303" s="871" t="s">
        <v>10</v>
      </c>
      <c r="I303" s="911"/>
      <c r="J303" s="910" t="s">
        <v>115</v>
      </c>
      <c r="M303" s="678"/>
      <c r="N303" s="679"/>
      <c r="P303" s="680"/>
    </row>
    <row r="304" spans="1:17" ht="12.75" customHeight="1">
      <c r="A304" s="869"/>
      <c r="C304" s="869" t="s">
        <v>793</v>
      </c>
      <c r="D304" s="869"/>
      <c r="E304" s="873"/>
      <c r="F304" s="869"/>
      <c r="H304" s="871" t="s">
        <v>10</v>
      </c>
      <c r="I304" s="911"/>
      <c r="J304" s="910" t="s">
        <v>517</v>
      </c>
      <c r="M304" s="912"/>
      <c r="N304" s="679"/>
      <c r="P304" s="680"/>
    </row>
    <row r="305" spans="1:21" ht="12.75" customHeight="1">
      <c r="A305" s="869"/>
      <c r="C305" s="869" t="s">
        <v>794</v>
      </c>
      <c r="D305" s="869"/>
      <c r="E305" s="873"/>
      <c r="F305" s="869"/>
      <c r="H305" s="871" t="s">
        <v>10</v>
      </c>
      <c r="I305" s="911"/>
      <c r="J305" s="910" t="s">
        <v>115</v>
      </c>
      <c r="P305" s="680"/>
    </row>
    <row r="306" spans="1:21" ht="12.75" customHeight="1">
      <c r="A306" s="869"/>
      <c r="B306" s="868" t="s">
        <v>795</v>
      </c>
      <c r="C306" s="869"/>
      <c r="D306" s="869"/>
      <c r="E306" s="873"/>
      <c r="F306" s="869"/>
      <c r="H306" s="871"/>
      <c r="I306" s="911"/>
      <c r="J306" s="869"/>
      <c r="P306" s="680"/>
    </row>
    <row r="307" spans="1:21" ht="12.75" customHeight="1">
      <c r="A307" s="869"/>
      <c r="C307" s="869" t="s">
        <v>796</v>
      </c>
      <c r="D307" s="869"/>
      <c r="E307" s="873"/>
      <c r="F307" s="869"/>
      <c r="H307" s="871" t="s">
        <v>10</v>
      </c>
      <c r="I307" s="913">
        <f>[3]ข้อกำหนดเพิ่มเติม!J3</f>
        <v>0.2</v>
      </c>
      <c r="J307" s="869" t="s">
        <v>195</v>
      </c>
      <c r="M307" s="914" t="s">
        <v>797</v>
      </c>
      <c r="N307" s="915"/>
      <c r="O307" s="916"/>
      <c r="P307" s="917" t="s">
        <v>798</v>
      </c>
      <c r="Q307" s="918"/>
      <c r="R307" s="821"/>
      <c r="S307" s="917" t="s">
        <v>799</v>
      </c>
      <c r="T307" s="918"/>
      <c r="U307" s="821"/>
    </row>
    <row r="308" spans="1:21" ht="12.75" customHeight="1">
      <c r="A308" s="869"/>
      <c r="C308" s="869" t="s">
        <v>800</v>
      </c>
      <c r="D308" s="869"/>
      <c r="E308" s="873"/>
      <c r="F308" s="869"/>
      <c r="H308" s="871" t="s">
        <v>10</v>
      </c>
      <c r="I308" s="913">
        <f>[3]ข้อกำหนดเพิ่มเติม!K3</f>
        <v>3.5</v>
      </c>
      <c r="J308" s="869" t="s">
        <v>59</v>
      </c>
      <c r="M308" s="919"/>
      <c r="N308" s="920" t="s">
        <v>801</v>
      </c>
      <c r="O308" s="921"/>
      <c r="P308" s="922">
        <v>2</v>
      </c>
      <c r="Q308" s="747"/>
      <c r="R308" s="745"/>
      <c r="S308" s="923">
        <v>2200</v>
      </c>
      <c r="T308" s="704"/>
      <c r="U308" s="924"/>
    </row>
    <row r="309" spans="1:21" ht="12.75" customHeight="1">
      <c r="A309" s="869"/>
      <c r="C309" s="869" t="s">
        <v>799</v>
      </c>
      <c r="D309" s="869"/>
      <c r="E309" s="873"/>
      <c r="F309" s="869"/>
      <c r="H309" s="871" t="s">
        <v>10</v>
      </c>
      <c r="I309" s="913">
        <f>[3]ข้อกำหนดเพิ่มเติม!L3</f>
        <v>2000</v>
      </c>
      <c r="J309" s="869" t="s">
        <v>320</v>
      </c>
      <c r="M309" s="925" t="s">
        <v>802</v>
      </c>
      <c r="N309" s="747">
        <v>0.15</v>
      </c>
      <c r="O309" s="926">
        <f>IF([3]เมนู!$S$10=1,[3]ค่าเสื่อมราคา!G69,[3]ค่าเสื่อมราคา!G69)</f>
        <v>35</v>
      </c>
      <c r="P309" s="922">
        <v>2.5</v>
      </c>
      <c r="Q309" s="747"/>
      <c r="R309" s="745"/>
      <c r="S309" s="927">
        <v>2300</v>
      </c>
      <c r="T309" s="747"/>
      <c r="U309" s="745"/>
    </row>
    <row r="310" spans="1:21" ht="12.75" customHeight="1">
      <c r="A310" s="869"/>
      <c r="C310" s="869" t="s">
        <v>803</v>
      </c>
      <c r="D310" s="869"/>
      <c r="E310" s="873"/>
      <c r="F310" s="869"/>
      <c r="H310" s="871" t="s">
        <v>10</v>
      </c>
      <c r="I310" s="911">
        <f>I337</f>
        <v>2380.25</v>
      </c>
      <c r="J310" s="869" t="s">
        <v>7</v>
      </c>
      <c r="M310" s="925" t="s">
        <v>804</v>
      </c>
      <c r="N310" s="747">
        <v>0.2</v>
      </c>
      <c r="O310" s="926">
        <f>IF([3]เมนู!$S$10=1,[3]ค่าเสื่อมราคา!G70,[3]ค่าเสื่อมราคา!G70)</f>
        <v>43.739999999999995</v>
      </c>
      <c r="P310" s="922">
        <v>3</v>
      </c>
      <c r="Q310" s="747"/>
      <c r="R310" s="745"/>
      <c r="S310" s="927">
        <v>2400</v>
      </c>
      <c r="T310" s="747"/>
      <c r="U310" s="745"/>
    </row>
    <row r="311" spans="1:21" ht="12.75" customHeight="1">
      <c r="A311" s="869"/>
      <c r="C311" s="869" t="s">
        <v>805</v>
      </c>
      <c r="D311" s="869"/>
      <c r="E311" s="873"/>
      <c r="F311" s="869"/>
      <c r="H311" s="871" t="s">
        <v>10</v>
      </c>
      <c r="I311" s="911">
        <f>(I307*(I308/100)*I309)/1000</f>
        <v>1.4000000000000002E-2</v>
      </c>
      <c r="J311" s="910" t="s">
        <v>517</v>
      </c>
      <c r="M311" s="928" t="s">
        <v>806</v>
      </c>
      <c r="N311" s="777">
        <v>0.25</v>
      </c>
      <c r="O311" s="929">
        <f>IF([3]เมนู!$S$10=1,[3]ค่าเสื่อมราคา!G71,[3]ค่าเสื่อมราคา!G71)</f>
        <v>58.319999999999993</v>
      </c>
      <c r="P311" s="930">
        <v>3.5</v>
      </c>
      <c r="Q311" s="777"/>
      <c r="R311" s="931"/>
      <c r="S311" s="932">
        <v>2500</v>
      </c>
      <c r="T311" s="777"/>
      <c r="U311" s="931"/>
    </row>
    <row r="312" spans="1:21" ht="12.75" customHeight="1">
      <c r="A312" s="869"/>
      <c r="C312" s="900" t="s">
        <v>807</v>
      </c>
      <c r="D312" s="900"/>
      <c r="E312" s="895"/>
      <c r="F312" s="901"/>
      <c r="H312" s="902" t="s">
        <v>10</v>
      </c>
      <c r="I312" s="903">
        <f>ROUND(VLOOKUP(I307,N309:O311,2,FALSE),2)</f>
        <v>43.74</v>
      </c>
      <c r="J312" s="900" t="s">
        <v>758</v>
      </c>
      <c r="M312" s="678"/>
      <c r="N312" s="679"/>
      <c r="P312" s="680"/>
    </row>
    <row r="313" spans="1:21" ht="12.75" customHeight="1">
      <c r="A313" s="869"/>
      <c r="C313" s="869" t="s">
        <v>808</v>
      </c>
      <c r="D313" s="869"/>
      <c r="E313" s="873"/>
      <c r="F313" s="869"/>
      <c r="H313" s="871" t="s">
        <v>10</v>
      </c>
      <c r="I313" s="933">
        <f>ROUND(I216*(I312+(I310*I311)),2)</f>
        <v>77.53</v>
      </c>
      <c r="J313" s="910" t="s">
        <v>115</v>
      </c>
      <c r="M313" s="678"/>
      <c r="N313" s="679"/>
      <c r="P313" s="680"/>
    </row>
    <row r="314" spans="1:21" ht="12.75" customHeight="1">
      <c r="A314" s="934" t="s">
        <v>809</v>
      </c>
      <c r="C314" s="935"/>
      <c r="D314" s="900"/>
      <c r="E314" s="895"/>
      <c r="F314" s="900"/>
      <c r="H314" s="902"/>
      <c r="I314" s="936"/>
      <c r="J314" s="937"/>
      <c r="K314" s="938"/>
      <c r="L314" s="900"/>
      <c r="M314" s="900"/>
      <c r="N314" s="679"/>
      <c r="P314" s="680"/>
    </row>
    <row r="315" spans="1:21" ht="12.75" customHeight="1">
      <c r="A315" s="939"/>
      <c r="B315" s="900" t="s">
        <v>810</v>
      </c>
      <c r="C315" s="900"/>
      <c r="D315" s="900"/>
      <c r="E315" s="895"/>
      <c r="F315" s="900"/>
      <c r="H315" s="902"/>
      <c r="I315" s="936"/>
      <c r="J315" s="937"/>
      <c r="K315" s="938"/>
      <c r="L315" s="900"/>
      <c r="M315" s="900"/>
      <c r="N315" s="679"/>
      <c r="P315" s="680"/>
    </row>
    <row r="316" spans="1:21" ht="12.75" customHeight="1">
      <c r="A316" s="939"/>
      <c r="B316" s="900" t="s">
        <v>811</v>
      </c>
      <c r="C316" s="900"/>
      <c r="D316" s="900"/>
      <c r="E316" s="895"/>
      <c r="F316" s="900"/>
      <c r="H316" s="902" t="s">
        <v>10</v>
      </c>
      <c r="I316" s="903">
        <f>ROUND(IF([3]เมนู!$S$10=1,[3]ค่าเสื่อมราคา!G34,[3]ค่าเสื่อมราคา!H34),2)</f>
        <v>9.32</v>
      </c>
      <c r="J316" s="900" t="s">
        <v>758</v>
      </c>
      <c r="K316" s="691"/>
      <c r="M316" s="900"/>
      <c r="N316" s="679"/>
      <c r="P316" s="680"/>
    </row>
    <row r="317" spans="1:21" ht="12.75" customHeight="1">
      <c r="A317" s="939"/>
      <c r="B317" s="900" t="s">
        <v>812</v>
      </c>
      <c r="C317" s="900"/>
      <c r="D317" s="895" t="s">
        <v>416</v>
      </c>
      <c r="E317" s="940">
        <f>[3]ข้อกำหนดเพิ่มเติม!M3</f>
        <v>0.1</v>
      </c>
      <c r="F317" s="900" t="s">
        <v>813</v>
      </c>
      <c r="H317" s="902" t="s">
        <v>10</v>
      </c>
      <c r="I317" s="903">
        <f>ROUND(IF([3]เมนู!$S$10=1,[3]ค่าเสื่อมราคา!G33,[3]ค่าเสื่อมราคา!H33),2)</f>
        <v>11.8</v>
      </c>
      <c r="J317" s="900" t="s">
        <v>758</v>
      </c>
      <c r="K317" s="691"/>
      <c r="M317" s="941" t="s">
        <v>814</v>
      </c>
      <c r="N317" s="679"/>
      <c r="P317" s="680"/>
    </row>
    <row r="318" spans="1:21" ht="12.75" customHeight="1">
      <c r="A318" s="939"/>
      <c r="B318" s="900" t="s">
        <v>815</v>
      </c>
      <c r="C318" s="900"/>
      <c r="D318" s="895" t="s">
        <v>416</v>
      </c>
      <c r="E318" s="942">
        <f>E317</f>
        <v>0.1</v>
      </c>
      <c r="F318" s="900" t="s">
        <v>813</v>
      </c>
      <c r="H318" s="902" t="s">
        <v>10</v>
      </c>
      <c r="I318" s="903">
        <f>ROUND(I186*E318,2)</f>
        <v>94.22</v>
      </c>
      <c r="J318" s="900" t="s">
        <v>758</v>
      </c>
      <c r="K318" s="691"/>
      <c r="M318" s="943">
        <v>0.06</v>
      </c>
      <c r="N318" s="679"/>
      <c r="P318" s="680"/>
    </row>
    <row r="319" spans="1:21" ht="12.75" customHeight="1">
      <c r="A319" s="939"/>
      <c r="B319" s="900" t="s">
        <v>816</v>
      </c>
      <c r="C319" s="900"/>
      <c r="D319" s="900"/>
      <c r="E319" s="895"/>
      <c r="F319" s="900"/>
      <c r="H319" s="902" t="s">
        <v>10</v>
      </c>
      <c r="I319" s="903" t="e">
        <f>I230</f>
        <v>#REF!</v>
      </c>
      <c r="J319" s="900" t="s">
        <v>758</v>
      </c>
      <c r="K319" s="691"/>
      <c r="M319" s="943">
        <v>0.08</v>
      </c>
      <c r="N319" s="679"/>
      <c r="P319" s="680"/>
    </row>
    <row r="320" spans="1:21" ht="12.75" customHeight="1">
      <c r="A320" s="939"/>
      <c r="B320" s="900" t="s">
        <v>817</v>
      </c>
      <c r="C320" s="900"/>
      <c r="D320" s="895" t="s">
        <v>416</v>
      </c>
      <c r="E320" s="944">
        <f>E317</f>
        <v>0.1</v>
      </c>
      <c r="F320" s="900" t="s">
        <v>813</v>
      </c>
      <c r="H320" s="902" t="s">
        <v>10</v>
      </c>
      <c r="I320" s="903">
        <f>ROUND(IF([3]เมนู!$S$10=1,[3]ค่าเสื่อมราคา!G28,[3]ค่าเสื่อมราคา!H28)*E320,2)</f>
        <v>2.1</v>
      </c>
      <c r="J320" s="900" t="s">
        <v>758</v>
      </c>
      <c r="K320" s="691"/>
      <c r="M320" s="943">
        <v>0.1</v>
      </c>
      <c r="N320" s="679"/>
      <c r="P320" s="680"/>
    </row>
    <row r="321" spans="1:16" ht="12.75" customHeight="1">
      <c r="A321" s="939"/>
      <c r="B321" s="900" t="s">
        <v>818</v>
      </c>
      <c r="C321" s="900"/>
      <c r="D321" s="895" t="s">
        <v>416</v>
      </c>
      <c r="E321" s="944">
        <f>E320</f>
        <v>0.1</v>
      </c>
      <c r="F321" s="900" t="s">
        <v>813</v>
      </c>
      <c r="H321" s="902" t="s">
        <v>10</v>
      </c>
      <c r="I321" s="903">
        <f>ROUND(IF([3]เมนู!$S$10=1,[3]ค่าเสื่อมราคา!G29,[3]ค่าเสื่อมราคา!H29)*E320,2)</f>
        <v>7.4</v>
      </c>
      <c r="J321" s="900" t="s">
        <v>758</v>
      </c>
      <c r="K321" s="691"/>
      <c r="M321" s="943">
        <v>0.12</v>
      </c>
      <c r="N321" s="679"/>
      <c r="P321" s="680"/>
    </row>
    <row r="322" spans="1:16" ht="12.75" customHeight="1">
      <c r="A322" s="939"/>
      <c r="B322" s="900" t="s">
        <v>819</v>
      </c>
      <c r="C322" s="900"/>
      <c r="D322" s="900"/>
      <c r="E322" s="895"/>
      <c r="F322" s="900"/>
      <c r="H322" s="902" t="s">
        <v>10</v>
      </c>
      <c r="I322" s="903" t="e">
        <f>ROUND(IF(I319&gt;0,[3]ค่าเสื่อมราคา!G35,0),2)</f>
        <v>#REF!</v>
      </c>
      <c r="J322" s="900" t="s">
        <v>758</v>
      </c>
      <c r="K322" s="691"/>
      <c r="M322" s="943">
        <v>0.15</v>
      </c>
      <c r="N322" s="679"/>
      <c r="P322" s="680"/>
    </row>
    <row r="323" spans="1:16" ht="12.75" customHeight="1">
      <c r="A323" s="939"/>
      <c r="B323" s="900" t="s">
        <v>820</v>
      </c>
      <c r="C323" s="900"/>
      <c r="D323" s="900"/>
      <c r="E323" s="895"/>
      <c r="F323" s="900"/>
      <c r="H323" s="902"/>
      <c r="I323" s="903" t="e">
        <f>SUM(I320:I322)</f>
        <v>#REF!</v>
      </c>
      <c r="J323" s="900" t="s">
        <v>758</v>
      </c>
      <c r="K323" s="691"/>
      <c r="M323" s="945">
        <v>0.16</v>
      </c>
      <c r="N323" s="679"/>
      <c r="P323" s="680"/>
    </row>
    <row r="324" spans="1:16" ht="12.75" customHeight="1">
      <c r="A324" s="939"/>
      <c r="B324" s="900" t="s">
        <v>821</v>
      </c>
      <c r="C324" s="900"/>
      <c r="D324" s="900"/>
      <c r="E324" s="895"/>
      <c r="F324" s="900"/>
      <c r="H324" s="902" t="s">
        <v>10</v>
      </c>
      <c r="I324" s="907">
        <f>SUM(I316:I318)</f>
        <v>115.34</v>
      </c>
      <c r="J324" s="900" t="s">
        <v>758</v>
      </c>
      <c r="K324" s="691"/>
      <c r="M324" s="943">
        <v>0.18</v>
      </c>
      <c r="N324" s="679"/>
      <c r="P324" s="680"/>
    </row>
    <row r="325" spans="1:16" ht="12.75" customHeight="1">
      <c r="A325" s="946" t="s">
        <v>822</v>
      </c>
      <c r="C325" s="900"/>
      <c r="D325" s="900"/>
      <c r="E325" s="895"/>
      <c r="F325" s="900"/>
      <c r="H325" s="902"/>
      <c r="I325" s="903"/>
      <c r="J325" s="900"/>
      <c r="K325" s="691"/>
      <c r="M325" s="947">
        <v>0.2</v>
      </c>
      <c r="N325" s="679"/>
      <c r="P325" s="680"/>
    </row>
    <row r="326" spans="1:16" ht="12.75" customHeight="1">
      <c r="A326" s="939"/>
      <c r="B326" s="900" t="s">
        <v>823</v>
      </c>
      <c r="C326" s="900"/>
      <c r="D326" s="900"/>
      <c r="E326" s="895"/>
      <c r="F326" s="900"/>
      <c r="H326" s="902" t="s">
        <v>10</v>
      </c>
      <c r="I326" s="903" t="e">
        <f>I240</f>
        <v>#REF!</v>
      </c>
      <c r="J326" s="900" t="s">
        <v>758</v>
      </c>
      <c r="K326" s="691"/>
      <c r="M326" s="900"/>
      <c r="N326" s="679"/>
      <c r="P326" s="680"/>
    </row>
    <row r="327" spans="1:16" ht="12.75" customHeight="1">
      <c r="A327" s="939"/>
      <c r="B327" s="900" t="s">
        <v>824</v>
      </c>
      <c r="C327" s="900"/>
      <c r="D327" s="900"/>
      <c r="E327" s="895"/>
      <c r="F327" s="900"/>
      <c r="H327" s="871"/>
      <c r="I327" s="911"/>
      <c r="J327" s="869"/>
      <c r="K327" s="691"/>
      <c r="M327" s="900"/>
      <c r="N327" s="679"/>
      <c r="P327" s="680"/>
    </row>
    <row r="328" spans="1:16" ht="12.75" customHeight="1">
      <c r="A328" s="939"/>
      <c r="B328" s="900" t="s">
        <v>825</v>
      </c>
      <c r="C328" s="900"/>
      <c r="D328" s="900"/>
      <c r="E328" s="895"/>
      <c r="F328" s="900"/>
      <c r="H328" s="902" t="s">
        <v>10</v>
      </c>
      <c r="I328" s="936" t="e">
        <f>ROUND(I216*(P225+0.73857*I225+0.02183*I224+0.0615*I221)+$I$249,2)</f>
        <v>#REF!</v>
      </c>
      <c r="J328" s="900" t="s">
        <v>758</v>
      </c>
      <c r="K328" s="691"/>
      <c r="M328" s="900"/>
      <c r="N328" s="679"/>
      <c r="P328" s="680"/>
    </row>
    <row r="329" spans="1:16" ht="12.75" customHeight="1">
      <c r="A329" s="939"/>
      <c r="B329" s="900" t="s">
        <v>757</v>
      </c>
      <c r="C329" s="948">
        <f>[3]ข้อกำหนดเพิ่มเติม!N3</f>
        <v>3</v>
      </c>
      <c r="D329" s="902" t="s">
        <v>826</v>
      </c>
      <c r="E329" s="949">
        <f>41.667/C329</f>
        <v>13.889000000000001</v>
      </c>
      <c r="F329" s="900" t="s">
        <v>50</v>
      </c>
      <c r="H329" s="902" t="s">
        <v>10</v>
      </c>
      <c r="I329" s="936" t="e">
        <f>ROUND(I328/E329,2)</f>
        <v>#REF!</v>
      </c>
      <c r="J329" s="900" t="s">
        <v>11</v>
      </c>
      <c r="K329" s="691"/>
      <c r="M329" s="950" t="s">
        <v>827</v>
      </c>
      <c r="N329" s="679"/>
      <c r="P329" s="680"/>
    </row>
    <row r="330" spans="1:16" ht="12.75" customHeight="1">
      <c r="A330" s="939"/>
      <c r="B330" s="900" t="s">
        <v>828</v>
      </c>
      <c r="C330" s="900"/>
      <c r="D330" s="900"/>
      <c r="E330" s="895"/>
      <c r="F330" s="900"/>
      <c r="H330" s="902" t="s">
        <v>10</v>
      </c>
      <c r="I330" s="903" t="e">
        <f>I326+I329</f>
        <v>#REF!</v>
      </c>
      <c r="J330" s="900" t="s">
        <v>758</v>
      </c>
      <c r="K330" s="691"/>
      <c r="M330" s="680">
        <v>2</v>
      </c>
      <c r="N330" s="679"/>
      <c r="P330" s="680"/>
    </row>
    <row r="331" spans="1:16" ht="12.75" customHeight="1">
      <c r="A331" s="939"/>
      <c r="B331" s="900" t="s">
        <v>829</v>
      </c>
      <c r="C331" s="900"/>
      <c r="D331" s="900"/>
      <c r="E331" s="895"/>
      <c r="F331" s="900"/>
      <c r="H331" s="902" t="s">
        <v>10</v>
      </c>
      <c r="I331" s="903">
        <f>I293</f>
        <v>10.06</v>
      </c>
      <c r="J331" s="900" t="s">
        <v>758</v>
      </c>
      <c r="K331" s="691"/>
      <c r="M331" s="937">
        <v>2.5</v>
      </c>
      <c r="N331" s="679"/>
      <c r="P331" s="680"/>
    </row>
    <row r="332" spans="1:16" ht="12.75" customHeight="1">
      <c r="A332" s="939"/>
      <c r="B332" s="900" t="s">
        <v>830</v>
      </c>
      <c r="C332" s="900"/>
      <c r="D332" s="900"/>
      <c r="E332" s="895"/>
      <c r="F332" s="900"/>
      <c r="H332" s="902" t="s">
        <v>10</v>
      </c>
      <c r="I332" s="907" t="e">
        <f>I330+R287</f>
        <v>#REF!</v>
      </c>
      <c r="J332" s="900" t="s">
        <v>758</v>
      </c>
      <c r="K332" s="691"/>
      <c r="M332" s="937">
        <v>3</v>
      </c>
      <c r="N332" s="679"/>
      <c r="P332" s="680"/>
    </row>
    <row r="333" spans="1:16" ht="12.75" customHeight="1">
      <c r="A333" s="688" t="s">
        <v>831</v>
      </c>
      <c r="H333" s="686"/>
      <c r="I333" s="807"/>
      <c r="J333" s="686"/>
      <c r="K333" s="691"/>
      <c r="M333" s="937">
        <v>3.5</v>
      </c>
      <c r="N333" s="679"/>
      <c r="P333" s="680"/>
    </row>
    <row r="334" spans="1:16" ht="12.75" customHeight="1">
      <c r="A334" s="688"/>
      <c r="B334" s="678" t="s">
        <v>832</v>
      </c>
      <c r="H334" s="902" t="s">
        <v>10</v>
      </c>
      <c r="I334" s="807">
        <f>ROUND(D49+I49,2)</f>
        <v>261.32</v>
      </c>
      <c r="J334" s="686" t="s">
        <v>3</v>
      </c>
      <c r="K334" s="691"/>
      <c r="M334" s="680">
        <v>4</v>
      </c>
      <c r="N334" s="679"/>
      <c r="P334" s="680"/>
    </row>
    <row r="335" spans="1:16" ht="12.75" customHeight="1">
      <c r="B335" s="678" t="s">
        <v>833</v>
      </c>
      <c r="H335" s="902" t="s">
        <v>10</v>
      </c>
      <c r="I335" s="807">
        <f>ROUND(D50+I50,2)</f>
        <v>311.32</v>
      </c>
      <c r="J335" s="686" t="s">
        <v>3</v>
      </c>
      <c r="K335" s="862"/>
      <c r="M335" s="680">
        <v>4.5</v>
      </c>
      <c r="N335" s="679"/>
      <c r="P335" s="680"/>
    </row>
    <row r="336" spans="1:16" ht="12.75" customHeight="1">
      <c r="B336" s="678" t="s">
        <v>834</v>
      </c>
      <c r="H336" s="902" t="s">
        <v>10</v>
      </c>
      <c r="I336" s="807">
        <f>ROUND(D17+I17,2)</f>
        <v>637.02</v>
      </c>
      <c r="J336" s="686" t="s">
        <v>3</v>
      </c>
      <c r="K336" s="691"/>
      <c r="M336" s="680">
        <v>5</v>
      </c>
      <c r="N336" s="679"/>
      <c r="P336" s="680"/>
    </row>
    <row r="337" spans="2:38" ht="12.75" customHeight="1">
      <c r="B337" s="678" t="s">
        <v>835</v>
      </c>
      <c r="H337" s="902" t="s">
        <v>10</v>
      </c>
      <c r="I337" s="807">
        <f>ROUND(D51+I51,2)</f>
        <v>2380.25</v>
      </c>
      <c r="J337" s="686" t="s">
        <v>7</v>
      </c>
      <c r="K337" s="691"/>
      <c r="M337" s="678"/>
      <c r="N337" s="679"/>
      <c r="P337" s="680"/>
    </row>
    <row r="338" spans="2:38" ht="12.75" customHeight="1">
      <c r="B338" s="951" t="s">
        <v>836</v>
      </c>
      <c r="C338" s="951"/>
      <c r="D338" s="951"/>
      <c r="E338" s="952"/>
      <c r="F338" s="951"/>
      <c r="G338" s="953" t="s">
        <v>837</v>
      </c>
      <c r="H338" s="954" t="s">
        <v>10</v>
      </c>
      <c r="I338" s="843">
        <f>IF(I337=0,0,ROUND((I337*0.42)+(I335*1.44),2))</f>
        <v>1448.01</v>
      </c>
      <c r="J338" s="952" t="s">
        <v>3</v>
      </c>
      <c r="M338" s="678"/>
      <c r="N338" s="679"/>
      <c r="P338" s="680"/>
      <c r="AA338" s="900"/>
    </row>
    <row r="339" spans="2:38" ht="12.75" customHeight="1">
      <c r="B339" s="951" t="s">
        <v>838</v>
      </c>
      <c r="C339" s="951"/>
      <c r="D339" s="951"/>
      <c r="E339" s="952"/>
      <c r="F339" s="951"/>
      <c r="G339" s="953" t="s">
        <v>839</v>
      </c>
      <c r="H339" s="954" t="s">
        <v>840</v>
      </c>
      <c r="I339" s="843">
        <f>IF(I337=0,0,ROUND((I337*0.252)+(I335*0.624)+(I336*1.0005),2))</f>
        <v>1431.43</v>
      </c>
      <c r="J339" s="952" t="s">
        <v>3</v>
      </c>
      <c r="M339" s="678"/>
      <c r="N339" s="679"/>
      <c r="P339" s="680"/>
      <c r="AA339" s="900"/>
    </row>
    <row r="340" spans="2:38" ht="12.75" customHeight="1">
      <c r="B340" s="951" t="s">
        <v>841</v>
      </c>
      <c r="C340" s="951"/>
      <c r="D340" s="951"/>
      <c r="E340" s="952"/>
      <c r="F340" s="951"/>
      <c r="G340" s="953"/>
      <c r="H340" s="954" t="s">
        <v>842</v>
      </c>
      <c r="I340" s="843">
        <f>IF(I337=0,0,ROUND((I337*0.3045)+(I335*0.744)+(I336*0.83375),2))</f>
        <v>1487.52</v>
      </c>
      <c r="J340" s="952" t="s">
        <v>3</v>
      </c>
      <c r="M340" s="678"/>
      <c r="N340" s="679"/>
      <c r="P340" s="680"/>
      <c r="AA340" s="900"/>
    </row>
    <row r="341" spans="2:38" ht="12.75" customHeight="1">
      <c r="B341" s="951" t="s">
        <v>843</v>
      </c>
      <c r="C341" s="951"/>
      <c r="D341" s="951"/>
      <c r="E341" s="952"/>
      <c r="F341" s="951"/>
      <c r="G341" s="952"/>
      <c r="H341" s="954" t="s">
        <v>844</v>
      </c>
      <c r="I341" s="843">
        <f>IF(I337=0,0,ROUND((I337*0.336)+(I335*0.7152)+(I336*0.8786),2))</f>
        <v>1582.11</v>
      </c>
      <c r="J341" s="952" t="s">
        <v>3</v>
      </c>
      <c r="M341" s="678"/>
      <c r="N341" s="679"/>
      <c r="P341" s="680"/>
      <c r="AA341" s="900"/>
      <c r="AL341" s="955"/>
    </row>
    <row r="342" spans="2:38" ht="12.75" customHeight="1">
      <c r="B342" s="951" t="s">
        <v>845</v>
      </c>
      <c r="C342" s="951"/>
      <c r="D342" s="951"/>
      <c r="E342" s="952"/>
      <c r="F342" s="951"/>
      <c r="G342" s="956"/>
      <c r="H342" s="954" t="s">
        <v>846</v>
      </c>
      <c r="I342" s="843">
        <f>IF(I337=0,0,ROUND((I337*0.3675)+(I335*0.6864)+(I336*0.8464),2))</f>
        <v>1627.61</v>
      </c>
      <c r="J342" s="952" t="s">
        <v>3</v>
      </c>
      <c r="K342" s="691"/>
      <c r="M342" s="678"/>
      <c r="N342" s="679"/>
      <c r="P342" s="680"/>
      <c r="AA342" s="900"/>
      <c r="AL342" s="955"/>
    </row>
    <row r="343" spans="2:38" ht="12.75" customHeight="1">
      <c r="B343" s="951" t="s">
        <v>847</v>
      </c>
      <c r="C343" s="951"/>
      <c r="D343" s="951"/>
      <c r="E343" s="952"/>
      <c r="F343" s="951"/>
      <c r="G343" s="952"/>
      <c r="H343" s="954" t="s">
        <v>848</v>
      </c>
      <c r="I343" s="843">
        <f>IF(I337=0,0,ROUND((I337*0.42)+(I335*0.6288)+(I336*0.8372),2))</f>
        <v>1728.78</v>
      </c>
      <c r="J343" s="952" t="s">
        <v>3</v>
      </c>
      <c r="K343" s="691"/>
      <c r="M343" s="678"/>
      <c r="N343" s="679"/>
      <c r="P343" s="680"/>
      <c r="AA343" s="900"/>
      <c r="AL343" s="955"/>
    </row>
    <row r="344" spans="2:38" ht="12.75" hidden="1" customHeight="1">
      <c r="B344" s="951" t="s">
        <v>849</v>
      </c>
      <c r="C344" s="951"/>
      <c r="D344" s="951"/>
      <c r="E344" s="952"/>
      <c r="F344" s="951"/>
      <c r="G344" s="952" t="s">
        <v>850</v>
      </c>
      <c r="H344" s="954" t="s">
        <v>10</v>
      </c>
      <c r="I344" s="953">
        <f>INT((1*1*[3]ITEM2!$G$3)*I341)</f>
        <v>316</v>
      </c>
      <c r="J344" s="954" t="s">
        <v>11</v>
      </c>
      <c r="K344" s="691"/>
      <c r="M344" s="678"/>
      <c r="N344" s="679"/>
      <c r="P344" s="680"/>
      <c r="AA344" s="900"/>
      <c r="AL344" s="955"/>
    </row>
    <row r="345" spans="2:38" ht="12.75" customHeight="1">
      <c r="B345" s="957" t="s">
        <v>851</v>
      </c>
      <c r="C345" s="833"/>
      <c r="H345" s="902" t="s">
        <v>10</v>
      </c>
      <c r="I345" s="958">
        <f>[3]CON2!B3</f>
        <v>80</v>
      </c>
      <c r="J345" s="902" t="s">
        <v>852</v>
      </c>
      <c r="K345" s="691"/>
      <c r="M345" s="678"/>
      <c r="N345" s="679"/>
      <c r="P345" s="680"/>
      <c r="AA345" s="900"/>
      <c r="AL345" s="955"/>
    </row>
    <row r="346" spans="2:38" ht="12.75" customHeight="1">
      <c r="B346" s="957" t="s">
        <v>853</v>
      </c>
      <c r="C346" s="833"/>
      <c r="H346" s="902"/>
      <c r="I346" s="958">
        <f>[3]CON2!C3</f>
        <v>10</v>
      </c>
      <c r="J346" s="902" t="s">
        <v>854</v>
      </c>
      <c r="K346" s="691"/>
      <c r="M346" s="678"/>
      <c r="N346" s="679"/>
      <c r="P346" s="680"/>
      <c r="AA346" s="900"/>
      <c r="AL346" s="955"/>
    </row>
    <row r="347" spans="2:38" ht="12.75" customHeight="1">
      <c r="B347" s="957" t="s">
        <v>855</v>
      </c>
      <c r="C347" s="833"/>
      <c r="H347" s="902"/>
      <c r="I347" s="958">
        <f>[3]CON2!D3</f>
        <v>400</v>
      </c>
      <c r="J347" s="902" t="s">
        <v>11</v>
      </c>
      <c r="K347" s="691"/>
      <c r="M347" s="678"/>
      <c r="N347" s="679"/>
      <c r="P347" s="680"/>
      <c r="AA347" s="900"/>
      <c r="AL347" s="955"/>
    </row>
    <row r="348" spans="2:38" ht="12.75" customHeight="1">
      <c r="B348" s="957" t="s">
        <v>856</v>
      </c>
      <c r="C348" s="833"/>
      <c r="H348" s="902"/>
      <c r="I348" s="958">
        <f>[3]CON2!E3</f>
        <v>25</v>
      </c>
      <c r="J348" s="902" t="s">
        <v>854</v>
      </c>
      <c r="K348" s="691"/>
      <c r="M348" s="678"/>
      <c r="N348" s="679"/>
      <c r="P348" s="680"/>
      <c r="AA348" s="900"/>
      <c r="AL348" s="955"/>
    </row>
    <row r="349" spans="2:38" ht="12.75" customHeight="1">
      <c r="B349" s="955" t="s">
        <v>857</v>
      </c>
      <c r="C349" s="833"/>
      <c r="D349" s="833"/>
      <c r="E349" s="833"/>
      <c r="F349" s="833"/>
      <c r="G349" s="833"/>
      <c r="H349" s="902" t="s">
        <v>10</v>
      </c>
      <c r="I349" s="959">
        <f>[3]กรอกราคาวัสดุ!D55</f>
        <v>436</v>
      </c>
      <c r="J349" s="960" t="s">
        <v>3</v>
      </c>
      <c r="K349" s="691"/>
      <c r="M349" s="678"/>
      <c r="N349" s="679"/>
      <c r="P349" s="680"/>
      <c r="AA349" s="900"/>
      <c r="AL349" s="955"/>
    </row>
    <row r="350" spans="2:38" ht="12.75" customHeight="1">
      <c r="B350" s="955" t="s">
        <v>858</v>
      </c>
      <c r="C350" s="833"/>
      <c r="D350" s="833"/>
      <c r="E350" s="833"/>
      <c r="F350" s="833"/>
      <c r="G350" s="833"/>
      <c r="H350" s="902" t="s">
        <v>10</v>
      </c>
      <c r="I350" s="959">
        <f>[3]กรอกราคาวัสดุ!D56</f>
        <v>398</v>
      </c>
      <c r="J350" s="960" t="s">
        <v>3</v>
      </c>
      <c r="K350" s="691"/>
      <c r="M350" s="678"/>
      <c r="N350" s="679"/>
      <c r="P350" s="680"/>
      <c r="AA350" s="900"/>
    </row>
    <row r="351" spans="2:38" ht="12.75" customHeight="1">
      <c r="B351" s="955" t="s">
        <v>859</v>
      </c>
      <c r="C351" s="833"/>
      <c r="D351" s="833"/>
      <c r="E351" s="833"/>
      <c r="F351" s="833"/>
      <c r="G351" s="833"/>
      <c r="H351" s="902" t="s">
        <v>10</v>
      </c>
      <c r="I351" s="959">
        <f>[3]กรอกราคาวัสดุ!D57</f>
        <v>99</v>
      </c>
      <c r="J351" s="960" t="s">
        <v>3</v>
      </c>
      <c r="K351" s="691"/>
      <c r="M351" s="678"/>
      <c r="N351" s="679"/>
      <c r="P351" s="680"/>
      <c r="AA351" s="900"/>
    </row>
    <row r="352" spans="2:38" ht="12.75" customHeight="1">
      <c r="B352" s="955" t="s">
        <v>860</v>
      </c>
      <c r="C352" s="833"/>
      <c r="D352" s="833"/>
      <c r="E352" s="833"/>
      <c r="F352" s="833"/>
      <c r="G352" s="833"/>
      <c r="H352" s="902" t="s">
        <v>10</v>
      </c>
      <c r="I352" s="959">
        <f>[3]กรอกราคาวัสดุ!D58</f>
        <v>2807</v>
      </c>
      <c r="J352" s="960" t="s">
        <v>861</v>
      </c>
      <c r="K352" s="691"/>
      <c r="M352" s="678"/>
      <c r="N352" s="679"/>
      <c r="P352" s="680"/>
      <c r="AA352" s="900"/>
    </row>
    <row r="353" spans="1:39" ht="12.75" customHeight="1">
      <c r="B353" s="955" t="s">
        <v>862</v>
      </c>
      <c r="C353" s="833"/>
      <c r="D353" s="833"/>
      <c r="E353" s="833"/>
      <c r="F353" s="833"/>
      <c r="G353" s="833"/>
      <c r="H353" s="902" t="s">
        <v>10</v>
      </c>
      <c r="I353" s="959">
        <f>[3]CON2!F3</f>
        <v>2</v>
      </c>
      <c r="J353" s="902" t="s">
        <v>11</v>
      </c>
      <c r="K353" s="691"/>
      <c r="M353" s="678"/>
      <c r="N353" s="679"/>
      <c r="P353" s="680"/>
      <c r="AA353" s="900"/>
    </row>
    <row r="354" spans="1:39" ht="12.75" customHeight="1">
      <c r="B354" s="955" t="s">
        <v>863</v>
      </c>
      <c r="C354" s="833"/>
      <c r="D354" s="833"/>
      <c r="E354" s="833"/>
      <c r="F354" s="833"/>
      <c r="G354" s="833"/>
      <c r="H354" s="902" t="s">
        <v>10</v>
      </c>
      <c r="I354" s="959">
        <f>[3]กรอกราคาวัสดุ!D59</f>
        <v>115</v>
      </c>
      <c r="J354" s="960" t="s">
        <v>3</v>
      </c>
      <c r="K354" s="691"/>
      <c r="M354" s="678"/>
      <c r="N354" s="679"/>
      <c r="P354" s="680"/>
      <c r="AA354" s="900"/>
    </row>
    <row r="355" spans="1:39" ht="12.75" customHeight="1">
      <c r="B355" s="957" t="s">
        <v>864</v>
      </c>
      <c r="C355" s="833"/>
      <c r="D355" s="833"/>
      <c r="E355" s="833"/>
      <c r="F355" s="833"/>
      <c r="G355" s="833"/>
      <c r="H355" s="902" t="s">
        <v>10</v>
      </c>
      <c r="I355" s="959">
        <f>[3]CON2!G3</f>
        <v>22.5</v>
      </c>
      <c r="J355" s="902" t="s">
        <v>852</v>
      </c>
      <c r="K355" s="691"/>
      <c r="M355" s="678"/>
      <c r="N355" s="679"/>
      <c r="P355" s="680"/>
      <c r="AA355" s="900"/>
      <c r="AM355" s="957"/>
    </row>
    <row r="356" spans="1:39" ht="12.75" customHeight="1">
      <c r="B356" s="957" t="s">
        <v>865</v>
      </c>
      <c r="C356" s="833"/>
      <c r="D356" s="833"/>
      <c r="E356" s="833"/>
      <c r="F356" s="833"/>
      <c r="G356" s="833"/>
      <c r="H356" s="902" t="s">
        <v>10</v>
      </c>
      <c r="I356" s="959">
        <f>[3]CON2!H3</f>
        <v>7.81</v>
      </c>
      <c r="J356" s="902" t="s">
        <v>11</v>
      </c>
      <c r="K356" s="691"/>
      <c r="M356" s="678"/>
      <c r="N356" s="679"/>
      <c r="P356" s="680"/>
      <c r="AA356" s="900"/>
      <c r="AM356" s="957"/>
    </row>
    <row r="357" spans="1:39" ht="12.75" customHeight="1">
      <c r="B357" s="961" t="s">
        <v>866</v>
      </c>
      <c r="C357" s="961"/>
      <c r="D357" s="961"/>
      <c r="E357" s="961"/>
      <c r="F357" s="961"/>
      <c r="G357" s="961"/>
      <c r="H357" s="954" t="s">
        <v>10</v>
      </c>
      <c r="I357" s="962">
        <f>ROUND(D52+I52,2)</f>
        <v>60.07</v>
      </c>
      <c r="J357" s="963" t="s">
        <v>115</v>
      </c>
      <c r="K357" s="691"/>
      <c r="M357" s="678"/>
      <c r="N357" s="679"/>
      <c r="P357" s="680"/>
      <c r="AA357" s="900"/>
    </row>
    <row r="358" spans="1:39" ht="12.75" customHeight="1">
      <c r="B358" s="678" t="s">
        <v>867</v>
      </c>
      <c r="H358" s="902" t="s">
        <v>10</v>
      </c>
      <c r="I358" s="807">
        <f t="shared" ref="I358:I365" si="9">ROUND(D53+I53,2)</f>
        <v>22358.29</v>
      </c>
      <c r="J358" s="686" t="s">
        <v>7</v>
      </c>
      <c r="K358" s="862"/>
      <c r="M358" s="678"/>
      <c r="N358" s="679"/>
      <c r="P358" s="680"/>
    </row>
    <row r="359" spans="1:39" ht="12.75" customHeight="1">
      <c r="B359" s="678" t="s">
        <v>868</v>
      </c>
      <c r="H359" s="902" t="s">
        <v>10</v>
      </c>
      <c r="I359" s="807">
        <f t="shared" si="9"/>
        <v>20645.669999999998</v>
      </c>
      <c r="J359" s="686" t="s">
        <v>7</v>
      </c>
      <c r="K359" s="862"/>
      <c r="M359" s="678"/>
      <c r="N359" s="679"/>
      <c r="P359" s="680"/>
    </row>
    <row r="360" spans="1:39" ht="12.75" customHeight="1">
      <c r="B360" s="678" t="s">
        <v>869</v>
      </c>
      <c r="H360" s="902" t="s">
        <v>10</v>
      </c>
      <c r="I360" s="807">
        <f t="shared" si="9"/>
        <v>22142.87</v>
      </c>
      <c r="J360" s="686" t="s">
        <v>7</v>
      </c>
      <c r="K360" s="862"/>
      <c r="M360" s="678"/>
      <c r="N360" s="679"/>
      <c r="P360" s="680"/>
    </row>
    <row r="361" spans="1:39" ht="12.75" customHeight="1">
      <c r="B361" s="678" t="s">
        <v>870</v>
      </c>
      <c r="H361" s="902" t="s">
        <v>10</v>
      </c>
      <c r="I361" s="807">
        <f t="shared" si="9"/>
        <v>20903.61</v>
      </c>
      <c r="J361" s="686" t="s">
        <v>7</v>
      </c>
      <c r="K361" s="862"/>
      <c r="M361" s="678"/>
      <c r="N361" s="679"/>
      <c r="P361" s="680"/>
    </row>
    <row r="362" spans="1:39" ht="12.75" customHeight="1">
      <c r="B362" s="678" t="s">
        <v>871</v>
      </c>
      <c r="H362" s="902" t="s">
        <v>10</v>
      </c>
      <c r="I362" s="807">
        <f t="shared" si="9"/>
        <v>20782.12</v>
      </c>
      <c r="J362" s="686" t="s">
        <v>7</v>
      </c>
      <c r="K362" s="862"/>
      <c r="M362" s="678"/>
      <c r="N362" s="679"/>
      <c r="P362" s="680"/>
    </row>
    <row r="363" spans="1:39" ht="12.75" customHeight="1">
      <c r="B363" s="678" t="s">
        <v>872</v>
      </c>
      <c r="H363" s="902" t="s">
        <v>10</v>
      </c>
      <c r="I363" s="807">
        <f t="shared" si="9"/>
        <v>26539.13</v>
      </c>
      <c r="J363" s="686" t="s">
        <v>7</v>
      </c>
      <c r="K363" s="862"/>
      <c r="M363" s="678"/>
      <c r="N363" s="679"/>
      <c r="P363" s="680"/>
    </row>
    <row r="364" spans="1:39" ht="12.75" customHeight="1">
      <c r="B364" s="678" t="s">
        <v>873</v>
      </c>
      <c r="H364" s="902" t="s">
        <v>10</v>
      </c>
      <c r="I364" s="807">
        <f t="shared" si="9"/>
        <v>20533.52</v>
      </c>
      <c r="J364" s="686" t="s">
        <v>7</v>
      </c>
      <c r="K364" s="862"/>
      <c r="M364" s="678"/>
      <c r="N364" s="679"/>
      <c r="P364" s="680"/>
    </row>
    <row r="365" spans="1:39" ht="12.75" customHeight="1">
      <c r="B365" s="678" t="s">
        <v>874</v>
      </c>
      <c r="H365" s="902" t="s">
        <v>10</v>
      </c>
      <c r="I365" s="807">
        <f t="shared" si="9"/>
        <v>21912.959999999999</v>
      </c>
      <c r="J365" s="686" t="s">
        <v>7</v>
      </c>
      <c r="K365" s="862"/>
      <c r="M365" s="678"/>
      <c r="N365" s="679"/>
      <c r="P365" s="680"/>
    </row>
    <row r="366" spans="1:39" ht="12.75" customHeight="1">
      <c r="A366" s="964" t="s">
        <v>875</v>
      </c>
      <c r="H366" s="902" t="s">
        <v>10</v>
      </c>
      <c r="I366" s="807"/>
      <c r="J366" s="686"/>
      <c r="K366" s="862"/>
      <c r="M366" s="678"/>
      <c r="N366" s="679"/>
      <c r="P366" s="680"/>
    </row>
    <row r="367" spans="1:39" ht="12.75" customHeight="1">
      <c r="B367" s="964" t="s">
        <v>876</v>
      </c>
      <c r="C367" s="679"/>
      <c r="D367" s="679"/>
      <c r="H367" s="902" t="s">
        <v>10</v>
      </c>
      <c r="I367" s="807"/>
      <c r="J367" s="686"/>
      <c r="K367" s="691"/>
      <c r="M367" s="678"/>
      <c r="N367" s="679"/>
      <c r="P367" s="680"/>
    </row>
    <row r="368" spans="1:39" ht="12.75" customHeight="1">
      <c r="A368" s="800"/>
      <c r="B368" s="678" t="s">
        <v>877</v>
      </c>
      <c r="D368" s="686" t="s">
        <v>10</v>
      </c>
      <c r="E368" s="698">
        <f>2+('[3]ขนาด ท่อ'!D6+('[3]ขนาด ท่อ'!E6*2))*1.5</f>
        <v>2.7800000000000002</v>
      </c>
      <c r="F368" s="678" t="s">
        <v>27</v>
      </c>
      <c r="H368" s="902" t="s">
        <v>10</v>
      </c>
      <c r="I368" s="811">
        <f>E368*80</f>
        <v>222.40000000000003</v>
      </c>
      <c r="J368" s="686" t="s">
        <v>878</v>
      </c>
      <c r="K368" s="862"/>
      <c r="M368" s="678"/>
      <c r="N368" s="679"/>
      <c r="P368" s="680"/>
    </row>
    <row r="369" spans="1:16" ht="12.75" customHeight="1">
      <c r="B369" s="678" t="s">
        <v>879</v>
      </c>
      <c r="H369" s="902" t="s">
        <v>10</v>
      </c>
      <c r="I369" s="807">
        <f>[3]กรอกราคาวัสดุ!D40</f>
        <v>500</v>
      </c>
      <c r="J369" s="686" t="s">
        <v>878</v>
      </c>
      <c r="K369" s="862"/>
      <c r="M369" s="678"/>
      <c r="N369" s="679"/>
      <c r="P369" s="680"/>
    </row>
    <row r="370" spans="1:16" ht="12.75" customHeight="1">
      <c r="B370" s="678" t="s">
        <v>880</v>
      </c>
      <c r="H370" s="902" t="s">
        <v>10</v>
      </c>
      <c r="I370" s="807">
        <f>(([3]กรอกราคาวัสดุ!J40*13)+300)/32</f>
        <v>27.168749999999999</v>
      </c>
      <c r="J370" s="686" t="s">
        <v>878</v>
      </c>
      <c r="K370" s="862"/>
      <c r="M370" s="678"/>
      <c r="N370" s="679"/>
      <c r="P370" s="680"/>
    </row>
    <row r="371" spans="1:16" ht="12.75" customHeight="1">
      <c r="B371" s="678" t="s">
        <v>881</v>
      </c>
      <c r="H371" s="902" t="s">
        <v>10</v>
      </c>
      <c r="I371" s="807">
        <f>'[3]ขนาด ท่อ'!M6</f>
        <v>140</v>
      </c>
      <c r="J371" s="686" t="s">
        <v>878</v>
      </c>
      <c r="K371" s="862"/>
      <c r="M371" s="678"/>
      <c r="N371" s="679"/>
      <c r="P371" s="680"/>
    </row>
    <row r="372" spans="1:16" ht="12.75" customHeight="1">
      <c r="B372" s="678" t="s">
        <v>882</v>
      </c>
      <c r="D372" s="686" t="s">
        <v>10</v>
      </c>
      <c r="E372" s="803">
        <f>'[3]ขนาด ท่อ'!N6</f>
        <v>0.18</v>
      </c>
      <c r="F372" s="678" t="s">
        <v>27</v>
      </c>
      <c r="H372" s="902" t="s">
        <v>10</v>
      </c>
      <c r="I372" s="806">
        <f>+E372*$I$339</f>
        <v>257.6574</v>
      </c>
      <c r="J372" s="686" t="s">
        <v>39</v>
      </c>
      <c r="K372" s="691"/>
      <c r="N372" s="679"/>
      <c r="P372" s="680"/>
    </row>
    <row r="373" spans="1:16" ht="12.75" customHeight="1">
      <c r="F373" s="678" t="s">
        <v>883</v>
      </c>
      <c r="H373" s="902" t="s">
        <v>10</v>
      </c>
      <c r="I373" s="807">
        <f>SUM(I368:I372)</f>
        <v>1147.2261500000002</v>
      </c>
      <c r="J373" s="686" t="s">
        <v>39</v>
      </c>
      <c r="K373" s="691"/>
      <c r="M373" s="678"/>
      <c r="N373" s="679"/>
      <c r="P373" s="680"/>
    </row>
    <row r="374" spans="1:16" ht="12.75" customHeight="1">
      <c r="B374" s="804" t="s">
        <v>884</v>
      </c>
      <c r="H374" s="902" t="s">
        <v>10</v>
      </c>
      <c r="I374" s="812">
        <f>IF(I373=0,0,ROUNDDOWN(I373,-1))</f>
        <v>1140</v>
      </c>
      <c r="J374" s="686" t="s">
        <v>39</v>
      </c>
      <c r="K374" s="691"/>
      <c r="M374" s="678"/>
      <c r="N374" s="679"/>
      <c r="P374" s="680"/>
    </row>
    <row r="375" spans="1:16" ht="12.75" customHeight="1">
      <c r="B375" s="964" t="s">
        <v>885</v>
      </c>
      <c r="C375" s="679"/>
      <c r="D375" s="679"/>
      <c r="H375" s="902" t="s">
        <v>10</v>
      </c>
      <c r="I375" s="807"/>
      <c r="J375" s="686"/>
      <c r="K375" s="691"/>
      <c r="M375" s="678"/>
      <c r="N375" s="679"/>
      <c r="P375" s="680"/>
    </row>
    <row r="376" spans="1:16" ht="12.75" customHeight="1">
      <c r="A376" s="800"/>
      <c r="B376" s="678" t="s">
        <v>877</v>
      </c>
      <c r="D376" s="686" t="s">
        <v>10</v>
      </c>
      <c r="E376" s="698">
        <f>2+('[3]ขนาด ท่อ'!D8+('[3]ขนาด ท่อ'!E8*2))*1.5</f>
        <v>3.125</v>
      </c>
      <c r="F376" s="678" t="s">
        <v>27</v>
      </c>
      <c r="H376" s="902" t="s">
        <v>10</v>
      </c>
      <c r="I376" s="811">
        <f>E376*80</f>
        <v>250</v>
      </c>
      <c r="J376" s="686" t="s">
        <v>878</v>
      </c>
      <c r="K376" s="862"/>
      <c r="M376" s="678"/>
      <c r="N376" s="679"/>
      <c r="P376" s="680"/>
    </row>
    <row r="377" spans="1:16" ht="12.75" customHeight="1">
      <c r="B377" s="678" t="s">
        <v>879</v>
      </c>
      <c r="H377" s="902" t="s">
        <v>10</v>
      </c>
      <c r="I377" s="807">
        <f>[3]กรอกราคาวัสดุ!D41</f>
        <v>700</v>
      </c>
      <c r="J377" s="686" t="s">
        <v>878</v>
      </c>
      <c r="K377" s="862"/>
      <c r="M377" s="678"/>
      <c r="N377" s="679"/>
      <c r="P377" s="680"/>
    </row>
    <row r="378" spans="1:16" ht="12.75" customHeight="1">
      <c r="B378" s="678" t="s">
        <v>880</v>
      </c>
      <c r="H378" s="902" t="s">
        <v>10</v>
      </c>
      <c r="I378" s="807">
        <f>(([3]กรอกราคาวัสดุ!J41*13)+300)/24</f>
        <v>36.225000000000001</v>
      </c>
      <c r="J378" s="686" t="s">
        <v>878</v>
      </c>
      <c r="K378" s="862"/>
      <c r="M378" s="678"/>
      <c r="N378" s="679"/>
      <c r="P378" s="680"/>
    </row>
    <row r="379" spans="1:16" ht="12.75" customHeight="1">
      <c r="B379" s="678" t="s">
        <v>881</v>
      </c>
      <c r="H379" s="902" t="s">
        <v>10</v>
      </c>
      <c r="I379" s="807">
        <f>'[3]ขนาด ท่อ'!M8</f>
        <v>345</v>
      </c>
      <c r="J379" s="686" t="s">
        <v>878</v>
      </c>
      <c r="K379" s="862"/>
      <c r="M379" s="678"/>
      <c r="N379" s="679"/>
      <c r="P379" s="680"/>
    </row>
    <row r="380" spans="1:16" ht="12.75" customHeight="1">
      <c r="B380" s="678" t="s">
        <v>882</v>
      </c>
      <c r="D380" s="686" t="s">
        <v>10</v>
      </c>
      <c r="E380" s="686">
        <f>'[3]ขนาด ท่อ'!N8</f>
        <v>0.32</v>
      </c>
      <c r="F380" s="678" t="s">
        <v>27</v>
      </c>
      <c r="H380" s="902" t="s">
        <v>10</v>
      </c>
      <c r="I380" s="807">
        <f>+E380*$I$339</f>
        <v>458.05760000000004</v>
      </c>
      <c r="J380" s="686" t="s">
        <v>39</v>
      </c>
      <c r="K380" s="691"/>
      <c r="M380" s="678"/>
      <c r="N380" s="679"/>
      <c r="P380" s="680"/>
    </row>
    <row r="381" spans="1:16" ht="12.75" customHeight="1">
      <c r="F381" s="678" t="s">
        <v>883</v>
      </c>
      <c r="H381" s="902" t="s">
        <v>10</v>
      </c>
      <c r="I381" s="807">
        <f>SUM(I376:I380)</f>
        <v>1789.2826</v>
      </c>
      <c r="J381" s="686" t="s">
        <v>39</v>
      </c>
      <c r="K381" s="691"/>
      <c r="M381" s="678"/>
      <c r="N381" s="679"/>
      <c r="P381" s="680"/>
    </row>
    <row r="382" spans="1:16" ht="12.75" customHeight="1">
      <c r="B382" s="804" t="s">
        <v>886</v>
      </c>
      <c r="H382" s="902" t="s">
        <v>10</v>
      </c>
      <c r="I382" s="812">
        <f>IF(I381=0,0,ROUNDDOWN(I381,-1))</f>
        <v>1780</v>
      </c>
      <c r="J382" s="686" t="s">
        <v>39</v>
      </c>
      <c r="K382" s="691"/>
      <c r="M382" s="678"/>
      <c r="N382" s="679"/>
      <c r="P382" s="680"/>
    </row>
    <row r="383" spans="1:16" ht="12.75" customHeight="1">
      <c r="B383" s="964" t="s">
        <v>887</v>
      </c>
      <c r="H383" s="902" t="s">
        <v>10</v>
      </c>
      <c r="I383" s="807"/>
      <c r="J383" s="686"/>
      <c r="K383" s="691"/>
      <c r="M383" s="678"/>
      <c r="N383" s="679"/>
      <c r="P383" s="680"/>
    </row>
    <row r="384" spans="1:16" ht="12.75" customHeight="1">
      <c r="A384" s="800"/>
      <c r="B384" s="678" t="s">
        <v>877</v>
      </c>
      <c r="D384" s="686" t="s">
        <v>10</v>
      </c>
      <c r="E384" s="698">
        <f>2+('[3]ขนาด ท่อ'!D9+('[3]ขนาด ท่อ'!E9*2))*1.5</f>
        <v>3.4849999999999999</v>
      </c>
      <c r="F384" s="678" t="s">
        <v>27</v>
      </c>
      <c r="H384" s="902" t="s">
        <v>10</v>
      </c>
      <c r="I384" s="811">
        <f>E384*80</f>
        <v>278.8</v>
      </c>
      <c r="J384" s="686" t="s">
        <v>878</v>
      </c>
      <c r="K384" s="862"/>
      <c r="M384" s="678"/>
      <c r="N384" s="679"/>
      <c r="P384" s="680"/>
    </row>
    <row r="385" spans="1:16" ht="12.75" customHeight="1">
      <c r="B385" s="678" t="s">
        <v>879</v>
      </c>
      <c r="H385" s="902" t="s">
        <v>10</v>
      </c>
      <c r="I385" s="807">
        <f>[3]กรอกราคาวัสดุ!D42</f>
        <v>1050</v>
      </c>
      <c r="J385" s="686" t="s">
        <v>878</v>
      </c>
      <c r="K385" s="862"/>
      <c r="M385" s="678"/>
      <c r="N385" s="679"/>
      <c r="P385" s="680"/>
    </row>
    <row r="386" spans="1:16" ht="12.75" customHeight="1">
      <c r="B386" s="678" t="s">
        <v>880</v>
      </c>
      <c r="H386" s="902" t="s">
        <v>10</v>
      </c>
      <c r="I386" s="807">
        <f>(([3]กรอกราคาวัสดุ!J42*13)+300)/18</f>
        <v>48.3</v>
      </c>
      <c r="J386" s="686" t="s">
        <v>878</v>
      </c>
      <c r="K386" s="862"/>
      <c r="M386" s="678"/>
      <c r="N386" s="679"/>
      <c r="P386" s="680"/>
    </row>
    <row r="387" spans="1:16" ht="12.75" customHeight="1">
      <c r="B387" s="678" t="s">
        <v>881</v>
      </c>
      <c r="H387" s="902" t="s">
        <v>10</v>
      </c>
      <c r="I387" s="807">
        <f>'[3]ขนาด ท่อ'!M9</f>
        <v>421</v>
      </c>
      <c r="J387" s="686" t="s">
        <v>878</v>
      </c>
      <c r="K387" s="862"/>
      <c r="M387" s="678"/>
      <c r="N387" s="679"/>
      <c r="P387" s="680"/>
    </row>
    <row r="388" spans="1:16" ht="12.75" customHeight="1">
      <c r="B388" s="678" t="s">
        <v>882</v>
      </c>
      <c r="D388" s="686" t="s">
        <v>10</v>
      </c>
      <c r="E388" s="803">
        <f>'[3]ขนาด ท่อ'!N9</f>
        <v>0.5</v>
      </c>
      <c r="F388" s="678" t="s">
        <v>27</v>
      </c>
      <c r="H388" s="902" t="s">
        <v>10</v>
      </c>
      <c r="I388" s="806">
        <f>+E388*$I$339</f>
        <v>715.71500000000003</v>
      </c>
      <c r="J388" s="686" t="s">
        <v>39</v>
      </c>
      <c r="K388" s="691"/>
      <c r="M388" s="678"/>
      <c r="N388" s="679"/>
      <c r="P388" s="680"/>
    </row>
    <row r="389" spans="1:16" ht="12.75" customHeight="1">
      <c r="F389" s="678" t="s">
        <v>883</v>
      </c>
      <c r="H389" s="902" t="s">
        <v>10</v>
      </c>
      <c r="I389" s="807">
        <f>SUM(I384:I388)</f>
        <v>2513.8150000000001</v>
      </c>
      <c r="J389" s="686" t="s">
        <v>39</v>
      </c>
      <c r="K389" s="691"/>
      <c r="M389" s="678"/>
      <c r="N389" s="679"/>
      <c r="P389" s="680"/>
    </row>
    <row r="390" spans="1:16" ht="12.75" customHeight="1">
      <c r="B390" s="804" t="s">
        <v>888</v>
      </c>
      <c r="H390" s="902" t="s">
        <v>10</v>
      </c>
      <c r="I390" s="812">
        <f>IF(I389=0,0,ROUNDDOWN(I389,-1))</f>
        <v>2510</v>
      </c>
      <c r="J390" s="686" t="s">
        <v>39</v>
      </c>
      <c r="K390" s="691"/>
      <c r="M390" s="678"/>
      <c r="N390" s="679"/>
      <c r="P390" s="680"/>
    </row>
    <row r="391" spans="1:16" ht="12.75" customHeight="1">
      <c r="B391" s="964" t="s">
        <v>889</v>
      </c>
      <c r="H391" s="902" t="s">
        <v>10</v>
      </c>
      <c r="I391" s="807"/>
      <c r="J391" s="686"/>
      <c r="K391" s="691"/>
      <c r="M391" s="678"/>
      <c r="N391" s="679"/>
      <c r="P391" s="680"/>
    </row>
    <row r="392" spans="1:16" ht="12.75" customHeight="1">
      <c r="A392" s="800"/>
      <c r="B392" s="678" t="s">
        <v>877</v>
      </c>
      <c r="D392" s="686" t="s">
        <v>10</v>
      </c>
      <c r="E392" s="698">
        <f>2+('[3]ขนาด ท่อ'!D10+('[3]ขนาด ท่อ'!E10*2))*1.5</f>
        <v>3.83</v>
      </c>
      <c r="F392" s="678" t="s">
        <v>27</v>
      </c>
      <c r="H392" s="902" t="s">
        <v>10</v>
      </c>
      <c r="I392" s="811">
        <f>E392*80</f>
        <v>306.39999999999998</v>
      </c>
      <c r="J392" s="686" t="s">
        <v>878</v>
      </c>
      <c r="K392" s="862"/>
      <c r="M392" s="678"/>
      <c r="N392" s="679"/>
      <c r="P392" s="680"/>
    </row>
    <row r="393" spans="1:16" ht="12.75" customHeight="1">
      <c r="B393" s="678" t="s">
        <v>879</v>
      </c>
      <c r="H393" s="902" t="s">
        <v>10</v>
      </c>
      <c r="I393" s="807">
        <f>[3]กรอกราคาวัสดุ!D43</f>
        <v>1600</v>
      </c>
      <c r="J393" s="686" t="s">
        <v>878</v>
      </c>
      <c r="K393" s="862"/>
      <c r="M393" s="678"/>
      <c r="N393" s="679"/>
      <c r="P393" s="680"/>
    </row>
    <row r="394" spans="1:16" ht="12.75" customHeight="1">
      <c r="B394" s="678" t="s">
        <v>880</v>
      </c>
      <c r="H394" s="902" t="s">
        <v>10</v>
      </c>
      <c r="I394" s="807">
        <f>(([3]กรอกราคาวัสดุ!J43*13)+300)/10</f>
        <v>86.94</v>
      </c>
      <c r="J394" s="686" t="s">
        <v>878</v>
      </c>
      <c r="K394" s="862"/>
      <c r="M394" s="678"/>
      <c r="N394" s="679"/>
      <c r="P394" s="680"/>
    </row>
    <row r="395" spans="1:16" ht="12.75" customHeight="1">
      <c r="B395" s="678" t="s">
        <v>881</v>
      </c>
      <c r="H395" s="902" t="s">
        <v>10</v>
      </c>
      <c r="I395" s="807">
        <f>'[3]ขนาด ท่อ'!M10</f>
        <v>510</v>
      </c>
      <c r="J395" s="686" t="s">
        <v>878</v>
      </c>
      <c r="K395" s="862"/>
      <c r="M395" s="678"/>
      <c r="N395" s="679"/>
      <c r="P395" s="680"/>
    </row>
    <row r="396" spans="1:16" ht="12.75" customHeight="1">
      <c r="B396" s="678" t="s">
        <v>882</v>
      </c>
      <c r="D396" s="686" t="s">
        <v>10</v>
      </c>
      <c r="E396" s="803">
        <f>'[3]ขนาด ท่อ'!N10</f>
        <v>0.75</v>
      </c>
      <c r="F396" s="678" t="s">
        <v>27</v>
      </c>
      <c r="H396" s="902" t="s">
        <v>10</v>
      </c>
      <c r="I396" s="806">
        <f>+E396*$I$339</f>
        <v>1073.5725</v>
      </c>
      <c r="J396" s="686" t="s">
        <v>39</v>
      </c>
      <c r="K396" s="691"/>
      <c r="M396" s="678"/>
      <c r="N396" s="679"/>
      <c r="P396" s="680"/>
    </row>
    <row r="397" spans="1:16" ht="12.75" customHeight="1">
      <c r="F397" s="678" t="s">
        <v>883</v>
      </c>
      <c r="H397" s="902" t="s">
        <v>10</v>
      </c>
      <c r="I397" s="807">
        <f>SUM(I392:I396)</f>
        <v>3576.9125000000004</v>
      </c>
      <c r="J397" s="686" t="s">
        <v>39</v>
      </c>
      <c r="K397" s="691"/>
      <c r="M397" s="678"/>
      <c r="N397" s="679"/>
      <c r="P397" s="680"/>
    </row>
    <row r="398" spans="1:16" ht="12.75" customHeight="1">
      <c r="B398" s="804" t="s">
        <v>890</v>
      </c>
      <c r="H398" s="902" t="s">
        <v>10</v>
      </c>
      <c r="I398" s="812">
        <f>IF(I397=0,0,ROUNDDOWN(I397,-1))</f>
        <v>3570</v>
      </c>
      <c r="J398" s="686" t="s">
        <v>39</v>
      </c>
      <c r="K398" s="691"/>
      <c r="M398" s="678"/>
      <c r="N398" s="679"/>
      <c r="P398" s="680"/>
    </row>
    <row r="399" spans="1:16" ht="12.75" customHeight="1">
      <c r="B399" s="964" t="s">
        <v>891</v>
      </c>
      <c r="H399" s="902" t="s">
        <v>10</v>
      </c>
      <c r="I399" s="807"/>
      <c r="J399" s="686"/>
      <c r="K399" s="691"/>
      <c r="M399" s="678"/>
      <c r="N399" s="679"/>
      <c r="P399" s="680"/>
    </row>
    <row r="400" spans="1:16" ht="12.75" customHeight="1">
      <c r="A400" s="800"/>
      <c r="B400" s="678" t="s">
        <v>877</v>
      </c>
      <c r="D400" s="686" t="s">
        <v>10</v>
      </c>
      <c r="E400" s="698">
        <f>2+('[3]ขนาด ท่อ'!D11+('[3]ขนาด ท่อ'!E11*2))*1.5</f>
        <v>4.1749999999999998</v>
      </c>
      <c r="F400" s="678" t="s">
        <v>27</v>
      </c>
      <c r="H400" s="902" t="s">
        <v>10</v>
      </c>
      <c r="I400" s="811">
        <f>E400*80</f>
        <v>334</v>
      </c>
      <c r="J400" s="686" t="s">
        <v>878</v>
      </c>
      <c r="K400" s="862"/>
      <c r="M400" s="678"/>
      <c r="N400" s="679"/>
      <c r="P400" s="680"/>
    </row>
    <row r="401" spans="1:16" ht="12.75" customHeight="1">
      <c r="B401" s="678" t="s">
        <v>879</v>
      </c>
      <c r="D401" s="686" t="s">
        <v>10</v>
      </c>
      <c r="H401" s="902" t="s">
        <v>10</v>
      </c>
      <c r="I401" s="807">
        <f>[3]กรอกราคาวัสดุ!D44</f>
        <v>2350</v>
      </c>
      <c r="J401" s="686" t="s">
        <v>878</v>
      </c>
      <c r="K401" s="862"/>
      <c r="M401" s="678"/>
      <c r="N401" s="679"/>
      <c r="P401" s="680"/>
    </row>
    <row r="402" spans="1:16" ht="12.75" customHeight="1">
      <c r="B402" s="678" t="s">
        <v>880</v>
      </c>
      <c r="D402" s="686" t="s">
        <v>10</v>
      </c>
      <c r="H402" s="902" t="s">
        <v>10</v>
      </c>
      <c r="I402" s="807">
        <f>(([3]กรอกราคาวัสดุ!J44*13)+300)/8</f>
        <v>108.675</v>
      </c>
      <c r="J402" s="686" t="s">
        <v>878</v>
      </c>
      <c r="K402" s="862"/>
      <c r="M402" s="678"/>
      <c r="N402" s="679"/>
      <c r="P402" s="680"/>
    </row>
    <row r="403" spans="1:16" ht="12.75" customHeight="1">
      <c r="B403" s="678" t="s">
        <v>881</v>
      </c>
      <c r="D403" s="686" t="s">
        <v>10</v>
      </c>
      <c r="H403" s="902" t="s">
        <v>10</v>
      </c>
      <c r="I403" s="807">
        <f>'[3]ขนาด ท่อ'!M11</f>
        <v>575</v>
      </c>
      <c r="J403" s="686" t="s">
        <v>878</v>
      </c>
      <c r="K403" s="862"/>
      <c r="M403" s="678"/>
      <c r="N403" s="679"/>
      <c r="P403" s="680"/>
    </row>
    <row r="404" spans="1:16" ht="12.75" customHeight="1">
      <c r="B404" s="678" t="s">
        <v>882</v>
      </c>
      <c r="D404" s="686" t="s">
        <v>10</v>
      </c>
      <c r="E404" s="803">
        <f>'[3]ขนาด ท่อ'!N11</f>
        <v>1</v>
      </c>
      <c r="F404" s="678" t="s">
        <v>27</v>
      </c>
      <c r="H404" s="902" t="s">
        <v>10</v>
      </c>
      <c r="I404" s="806">
        <f>+E404*$I$339</f>
        <v>1431.43</v>
      </c>
      <c r="J404" s="686" t="s">
        <v>39</v>
      </c>
      <c r="K404" s="691"/>
      <c r="M404" s="678"/>
      <c r="N404" s="679"/>
      <c r="P404" s="680"/>
    </row>
    <row r="405" spans="1:16" ht="12.75" customHeight="1">
      <c r="F405" s="678" t="s">
        <v>883</v>
      </c>
      <c r="H405" s="902" t="s">
        <v>10</v>
      </c>
      <c r="I405" s="807">
        <f>SUM(I400:I404)</f>
        <v>4799.1050000000005</v>
      </c>
      <c r="J405" s="686" t="s">
        <v>39</v>
      </c>
      <c r="K405" s="691"/>
      <c r="M405" s="678"/>
      <c r="N405" s="679"/>
      <c r="P405" s="680"/>
    </row>
    <row r="406" spans="1:16" ht="12.75" customHeight="1">
      <c r="B406" s="804" t="s">
        <v>892</v>
      </c>
      <c r="H406" s="902" t="s">
        <v>10</v>
      </c>
      <c r="I406" s="812">
        <f>IF(I405=0,0,ROUNDDOWN(I405,-1))</f>
        <v>4790</v>
      </c>
      <c r="J406" s="686" t="s">
        <v>39</v>
      </c>
      <c r="K406" s="691"/>
      <c r="M406" s="678"/>
      <c r="N406" s="679"/>
      <c r="P406" s="680"/>
    </row>
    <row r="407" spans="1:16" ht="12.75" customHeight="1">
      <c r="B407" s="964" t="s">
        <v>893</v>
      </c>
      <c r="H407" s="902" t="s">
        <v>10</v>
      </c>
      <c r="I407" s="807"/>
      <c r="J407" s="686"/>
      <c r="K407" s="691"/>
      <c r="M407" s="678"/>
      <c r="N407" s="679"/>
      <c r="P407" s="680"/>
    </row>
    <row r="408" spans="1:16" ht="12.75" customHeight="1">
      <c r="A408" s="800"/>
      <c r="B408" s="678" t="s">
        <v>877</v>
      </c>
      <c r="D408" s="686" t="s">
        <v>10</v>
      </c>
      <c r="E408" s="698">
        <f>2+('[3]ขนาด ท่อ'!D13+('[3]ขนาด ท่อ'!E13*2))*1.5</f>
        <v>4.7</v>
      </c>
      <c r="F408" s="678" t="s">
        <v>27</v>
      </c>
      <c r="H408" s="902" t="s">
        <v>10</v>
      </c>
      <c r="I408" s="811">
        <f>E408*80</f>
        <v>376</v>
      </c>
      <c r="J408" s="686" t="s">
        <v>878</v>
      </c>
      <c r="K408" s="862"/>
      <c r="M408" s="678"/>
      <c r="N408" s="679"/>
      <c r="P408" s="680"/>
    </row>
    <row r="409" spans="1:16" ht="12.75" customHeight="1">
      <c r="A409" s="800"/>
      <c r="B409" s="678" t="s">
        <v>879</v>
      </c>
      <c r="D409" s="686" t="s">
        <v>10</v>
      </c>
      <c r="H409" s="902" t="s">
        <v>10</v>
      </c>
      <c r="I409" s="807">
        <f>[3]กรอกราคาวัสดุ!D45</f>
        <v>2990</v>
      </c>
      <c r="J409" s="686" t="s">
        <v>878</v>
      </c>
      <c r="K409" s="691"/>
      <c r="M409" s="678"/>
      <c r="N409" s="679"/>
      <c r="P409" s="680"/>
    </row>
    <row r="410" spans="1:16" ht="12.75" customHeight="1">
      <c r="B410" s="678" t="s">
        <v>880</v>
      </c>
      <c r="D410" s="686" t="s">
        <v>10</v>
      </c>
      <c r="H410" s="902" t="s">
        <v>10</v>
      </c>
      <c r="I410" s="807">
        <f>(([3]กรอกราคาวัสดุ!J45*13)+300)/5</f>
        <v>173.88</v>
      </c>
      <c r="J410" s="686" t="s">
        <v>878</v>
      </c>
      <c r="K410" s="862"/>
      <c r="M410" s="678"/>
      <c r="N410" s="679"/>
      <c r="P410" s="680"/>
    </row>
    <row r="411" spans="1:16" ht="12.75" customHeight="1">
      <c r="B411" s="678" t="s">
        <v>881</v>
      </c>
      <c r="D411" s="686" t="s">
        <v>10</v>
      </c>
      <c r="H411" s="902" t="s">
        <v>10</v>
      </c>
      <c r="I411" s="807">
        <f>'[3]ขนาด ท่อ'!M13</f>
        <v>635</v>
      </c>
      <c r="J411" s="686" t="s">
        <v>878</v>
      </c>
      <c r="K411" s="862"/>
      <c r="M411" s="678"/>
      <c r="N411" s="679"/>
      <c r="P411" s="680"/>
    </row>
    <row r="412" spans="1:16" ht="12.75" customHeight="1">
      <c r="B412" s="678" t="s">
        <v>882</v>
      </c>
      <c r="D412" s="686" t="s">
        <v>10</v>
      </c>
      <c r="E412" s="803">
        <f>'[3]ขนาด ท่อ'!N13</f>
        <v>1.45</v>
      </c>
      <c r="F412" s="678" t="s">
        <v>27</v>
      </c>
      <c r="H412" s="902" t="s">
        <v>10</v>
      </c>
      <c r="I412" s="806">
        <f>+E412*$I$339</f>
        <v>2075.5735</v>
      </c>
      <c r="J412" s="686" t="s">
        <v>39</v>
      </c>
      <c r="K412" s="691"/>
      <c r="M412" s="678"/>
      <c r="N412" s="679"/>
      <c r="P412" s="680"/>
    </row>
    <row r="413" spans="1:16" ht="12.75" customHeight="1">
      <c r="F413" s="678" t="s">
        <v>883</v>
      </c>
      <c r="H413" s="902" t="s">
        <v>10</v>
      </c>
      <c r="I413" s="807">
        <f>SUM(I408:I412)</f>
        <v>6250.4534999999996</v>
      </c>
      <c r="J413" s="686" t="s">
        <v>39</v>
      </c>
      <c r="K413" s="691"/>
      <c r="M413" s="678"/>
      <c r="N413" s="679"/>
      <c r="P413" s="680"/>
    </row>
    <row r="414" spans="1:16" ht="12.75" customHeight="1">
      <c r="B414" s="804" t="s">
        <v>894</v>
      </c>
      <c r="H414" s="902" t="s">
        <v>10</v>
      </c>
      <c r="I414" s="812">
        <f>IF(I413=0,0,ROUNDDOWN(I413,-1))</f>
        <v>6250</v>
      </c>
      <c r="J414" s="686" t="s">
        <v>39</v>
      </c>
      <c r="K414" s="691"/>
      <c r="M414" s="678"/>
      <c r="N414" s="679"/>
      <c r="P414" s="680"/>
    </row>
    <row r="415" spans="1:16" ht="12.75" customHeight="1">
      <c r="A415" s="688" t="s">
        <v>895</v>
      </c>
      <c r="H415" s="902" t="s">
        <v>10</v>
      </c>
      <c r="I415" s="807"/>
      <c r="J415" s="686"/>
      <c r="K415" s="691"/>
      <c r="M415" s="678"/>
      <c r="N415" s="679"/>
      <c r="P415" s="680"/>
    </row>
    <row r="416" spans="1:16" ht="12.75" customHeight="1">
      <c r="A416" s="965"/>
      <c r="B416" s="966" t="s">
        <v>896</v>
      </c>
      <c r="C416" s="833"/>
      <c r="D416" s="833"/>
      <c r="E416" s="832"/>
      <c r="F416" s="833"/>
      <c r="H416" s="902" t="s">
        <v>10</v>
      </c>
      <c r="I416" s="834"/>
      <c r="J416" s="832"/>
      <c r="K416" s="835"/>
      <c r="M416" s="678"/>
      <c r="N416" s="679"/>
      <c r="P416" s="680"/>
    </row>
    <row r="417" spans="1:19" ht="12.75" customHeight="1">
      <c r="B417" s="678" t="s">
        <v>897</v>
      </c>
      <c r="E417" s="967">
        <f>[3]งานกำแพงปากท่อ!D66</f>
        <v>2.3705508881569224</v>
      </c>
      <c r="F417" s="678" t="s">
        <v>27</v>
      </c>
      <c r="H417" s="902" t="s">
        <v>10</v>
      </c>
      <c r="I417" s="807">
        <f>$I$341*E417</f>
        <v>3750.4722656619483</v>
      </c>
      <c r="J417" s="686" t="s">
        <v>39</v>
      </c>
      <c r="K417" s="691"/>
      <c r="M417" s="894"/>
      <c r="N417" s="678"/>
      <c r="O417" s="690"/>
      <c r="Q417" s="894"/>
      <c r="S417" s="690"/>
    </row>
    <row r="418" spans="1:19" ht="12.75" customHeight="1">
      <c r="B418" s="678" t="s">
        <v>898</v>
      </c>
      <c r="E418" s="967">
        <f>[3]งานกำแพงปากท่อ!D73</f>
        <v>6.1756800000000008E-2</v>
      </c>
      <c r="F418" s="678" t="s">
        <v>88</v>
      </c>
      <c r="H418" s="902" t="s">
        <v>10</v>
      </c>
      <c r="I418" s="807">
        <f>I359*E418/10</f>
        <v>127.5010513056</v>
      </c>
      <c r="J418" s="686" t="s">
        <v>39</v>
      </c>
      <c r="K418" s="691"/>
      <c r="M418" s="894"/>
      <c r="N418" s="678"/>
      <c r="O418" s="690"/>
      <c r="Q418" s="894"/>
      <c r="S418" s="690"/>
    </row>
    <row r="419" spans="1:19" ht="12.75" customHeight="1">
      <c r="B419" s="678" t="s">
        <v>899</v>
      </c>
      <c r="E419" s="967">
        <f>E418*20</f>
        <v>1.2351360000000002</v>
      </c>
      <c r="F419" s="678" t="s">
        <v>900</v>
      </c>
      <c r="H419" s="902" t="s">
        <v>10</v>
      </c>
      <c r="I419" s="807">
        <f>[3]กรอกราคาวัสดุ!$D$46*E419</f>
        <v>52.493280000000013</v>
      </c>
      <c r="J419" s="686" t="s">
        <v>39</v>
      </c>
      <c r="K419" s="691"/>
      <c r="M419" s="894"/>
      <c r="N419" s="678"/>
      <c r="O419" s="690"/>
      <c r="Q419" s="894"/>
      <c r="S419" s="690"/>
    </row>
    <row r="420" spans="1:19" ht="12.75" customHeight="1">
      <c r="B420" s="678" t="s">
        <v>901</v>
      </c>
      <c r="E420" s="967">
        <f>[3]งานกำแพงปากท่อ!D69</f>
        <v>4.2</v>
      </c>
      <c r="F420" s="678" t="s">
        <v>26</v>
      </c>
      <c r="H420" s="902" t="s">
        <v>10</v>
      </c>
      <c r="I420" s="807">
        <f>[3]กรอกราคาวัสดุ!$D$47*E420</f>
        <v>2436</v>
      </c>
      <c r="J420" s="686" t="s">
        <v>39</v>
      </c>
      <c r="K420" s="691"/>
      <c r="M420" s="894"/>
      <c r="N420" s="678"/>
      <c r="O420" s="690"/>
      <c r="Q420" s="894"/>
      <c r="S420" s="690"/>
    </row>
    <row r="421" spans="1:19" ht="12.75" customHeight="1">
      <c r="C421" s="678" t="s">
        <v>902</v>
      </c>
      <c r="H421" s="902" t="s">
        <v>10</v>
      </c>
      <c r="I421" s="834">
        <f>E420*[3]กรอกราคาวัสดุ!D59</f>
        <v>483</v>
      </c>
      <c r="J421" s="686" t="s">
        <v>39</v>
      </c>
      <c r="K421" s="691"/>
      <c r="M421" s="680"/>
      <c r="N421" s="678"/>
      <c r="O421" s="782"/>
      <c r="Q421" s="680"/>
      <c r="S421" s="782"/>
    </row>
    <row r="422" spans="1:19" ht="12.75" customHeight="1">
      <c r="D422" s="678" t="s">
        <v>903</v>
      </c>
      <c r="H422" s="902" t="s">
        <v>10</v>
      </c>
      <c r="I422" s="866">
        <f>SUM(I417:I421)*2</f>
        <v>13698.933193935096</v>
      </c>
      <c r="J422" s="686" t="s">
        <v>39</v>
      </c>
      <c r="K422" s="691"/>
      <c r="M422" s="680"/>
      <c r="N422" s="686"/>
      <c r="O422" s="690"/>
      <c r="Q422" s="680"/>
      <c r="S422" s="690"/>
    </row>
    <row r="423" spans="1:19" ht="12.75" customHeight="1">
      <c r="B423" s="804" t="s">
        <v>904</v>
      </c>
      <c r="H423" s="902" t="s">
        <v>10</v>
      </c>
      <c r="I423" s="812">
        <f>ROUNDDOWN(I422,-1)</f>
        <v>13690</v>
      </c>
      <c r="J423" s="686" t="s">
        <v>39</v>
      </c>
      <c r="K423" s="691"/>
      <c r="M423" s="680"/>
      <c r="N423" s="686"/>
      <c r="O423" s="690"/>
      <c r="Q423" s="680"/>
      <c r="S423" s="690"/>
    </row>
    <row r="424" spans="1:19" ht="12.75" customHeight="1">
      <c r="B424" s="804" t="s">
        <v>905</v>
      </c>
      <c r="H424" s="902" t="s">
        <v>10</v>
      </c>
      <c r="I424" s="812">
        <f>ROUNDDOWN((+I423*1.41),-1)</f>
        <v>19300</v>
      </c>
      <c r="J424" s="686" t="s">
        <v>39</v>
      </c>
      <c r="K424" s="691"/>
      <c r="M424" s="680"/>
      <c r="N424" s="686"/>
      <c r="O424" s="690"/>
      <c r="Q424" s="680"/>
      <c r="S424" s="690"/>
    </row>
    <row r="425" spans="1:19" ht="12.75" customHeight="1">
      <c r="B425" s="804" t="s">
        <v>906</v>
      </c>
      <c r="H425" s="902" t="s">
        <v>10</v>
      </c>
      <c r="I425" s="812">
        <f>ROUNDDOWN((+I423*1.7),-1)</f>
        <v>23270</v>
      </c>
      <c r="J425" s="686" t="s">
        <v>39</v>
      </c>
      <c r="K425" s="691"/>
      <c r="M425" s="680"/>
      <c r="N425" s="686"/>
      <c r="O425" s="690"/>
      <c r="Q425" s="680"/>
      <c r="S425" s="690"/>
    </row>
    <row r="426" spans="1:19" ht="12.75" customHeight="1">
      <c r="A426" s="688"/>
      <c r="B426" s="964" t="s">
        <v>907</v>
      </c>
      <c r="H426" s="902" t="s">
        <v>10</v>
      </c>
      <c r="I426" s="807"/>
      <c r="J426" s="686"/>
      <c r="K426" s="691"/>
      <c r="M426" s="678"/>
      <c r="N426" s="679"/>
      <c r="P426" s="680"/>
    </row>
    <row r="427" spans="1:19" ht="12.75" customHeight="1">
      <c r="B427" s="678" t="s">
        <v>897</v>
      </c>
      <c r="E427" s="967">
        <f>[3]งานกำแพงปากท่อ!D85</f>
        <v>2.9560308881569224</v>
      </c>
      <c r="F427" s="678" t="s">
        <v>27</v>
      </c>
      <c r="H427" s="902" t="s">
        <v>10</v>
      </c>
      <c r="I427" s="807">
        <f>$I$341*E427</f>
        <v>4676.7660284619478</v>
      </c>
      <c r="J427" s="686" t="s">
        <v>39</v>
      </c>
      <c r="K427" s="691"/>
      <c r="M427" s="894"/>
      <c r="N427" s="678"/>
      <c r="O427" s="690"/>
      <c r="Q427" s="894"/>
      <c r="S427" s="690"/>
    </row>
    <row r="428" spans="1:19" ht="12.75" customHeight="1">
      <c r="B428" s="678" t="s">
        <v>898</v>
      </c>
      <c r="E428" s="967">
        <f>[3]งานกำแพงปากท่อ!D92</f>
        <v>7.7842939999999999E-2</v>
      </c>
      <c r="F428" s="678" t="s">
        <v>88</v>
      </c>
      <c r="H428" s="902" t="s">
        <v>10</v>
      </c>
      <c r="I428" s="807">
        <f>I359*E428/10</f>
        <v>160.71196510697999</v>
      </c>
      <c r="J428" s="686" t="s">
        <v>39</v>
      </c>
      <c r="K428" s="691"/>
      <c r="M428" s="894"/>
      <c r="N428" s="678"/>
      <c r="O428" s="690"/>
      <c r="Q428" s="894"/>
      <c r="S428" s="690"/>
    </row>
    <row r="429" spans="1:19" ht="12.75" customHeight="1">
      <c r="B429" s="678" t="s">
        <v>899</v>
      </c>
      <c r="E429" s="967">
        <f>E428*20</f>
        <v>1.5568588000000001</v>
      </c>
      <c r="F429" s="678" t="s">
        <v>900</v>
      </c>
      <c r="H429" s="902" t="s">
        <v>10</v>
      </c>
      <c r="I429" s="807">
        <f>[3]กรอกราคาวัสดุ!$D$46*E429</f>
        <v>66.166499000000002</v>
      </c>
      <c r="J429" s="686" t="s">
        <v>39</v>
      </c>
      <c r="K429" s="691"/>
      <c r="M429" s="894"/>
      <c r="N429" s="678"/>
      <c r="O429" s="690"/>
      <c r="Q429" s="894"/>
      <c r="S429" s="690"/>
    </row>
    <row r="430" spans="1:19" ht="12.75" customHeight="1">
      <c r="B430" s="678" t="s">
        <v>901</v>
      </c>
      <c r="E430" s="967">
        <f>[3]งานกำแพงปากท่อ!D88</f>
        <v>5.0999999999999996</v>
      </c>
      <c r="F430" s="678" t="s">
        <v>26</v>
      </c>
      <c r="H430" s="902" t="s">
        <v>10</v>
      </c>
      <c r="I430" s="807">
        <f>[3]กรอกราคาวัสดุ!$D$47*E430</f>
        <v>2958</v>
      </c>
      <c r="J430" s="686" t="s">
        <v>39</v>
      </c>
      <c r="K430" s="691"/>
      <c r="M430" s="894"/>
      <c r="N430" s="678"/>
      <c r="O430" s="690"/>
      <c r="Q430" s="894"/>
      <c r="S430" s="690"/>
    </row>
    <row r="431" spans="1:19" ht="12.75" customHeight="1">
      <c r="C431" s="678" t="s">
        <v>902</v>
      </c>
      <c r="H431" s="902" t="s">
        <v>10</v>
      </c>
      <c r="I431" s="834">
        <f>E430*[3]กรอกราคาวัสดุ!D59</f>
        <v>586.5</v>
      </c>
      <c r="J431" s="686" t="s">
        <v>39</v>
      </c>
      <c r="K431" s="691"/>
      <c r="M431" s="680"/>
      <c r="N431" s="678"/>
      <c r="O431" s="782"/>
      <c r="Q431" s="680"/>
      <c r="S431" s="782"/>
    </row>
    <row r="432" spans="1:19" ht="12.75" customHeight="1">
      <c r="D432" s="678" t="s">
        <v>903</v>
      </c>
      <c r="H432" s="902" t="s">
        <v>10</v>
      </c>
      <c r="I432" s="807">
        <f>SUM(I427:I431)*2</f>
        <v>16896.288985137857</v>
      </c>
      <c r="J432" s="686" t="s">
        <v>39</v>
      </c>
      <c r="K432" s="691"/>
      <c r="M432" s="680"/>
      <c r="N432" s="686"/>
      <c r="O432" s="690"/>
      <c r="Q432" s="680"/>
      <c r="S432" s="690"/>
    </row>
    <row r="433" spans="1:27" ht="12.75" customHeight="1">
      <c r="B433" s="804" t="s">
        <v>908</v>
      </c>
      <c r="H433" s="902" t="s">
        <v>10</v>
      </c>
      <c r="I433" s="812">
        <f>ROUNDDOWN(I432,-1)</f>
        <v>16890</v>
      </c>
      <c r="J433" s="686" t="s">
        <v>39</v>
      </c>
      <c r="K433" s="691"/>
      <c r="M433" s="680"/>
      <c r="N433" s="686"/>
      <c r="O433" s="690"/>
      <c r="Q433" s="680"/>
      <c r="S433" s="690"/>
    </row>
    <row r="434" spans="1:27" ht="12.75" customHeight="1">
      <c r="B434" s="804" t="s">
        <v>909</v>
      </c>
      <c r="H434" s="902" t="s">
        <v>10</v>
      </c>
      <c r="I434" s="812">
        <f>ROUNDDOWN((+I433*1.4),-1)</f>
        <v>23640</v>
      </c>
      <c r="J434" s="686" t="s">
        <v>39</v>
      </c>
      <c r="K434" s="691"/>
      <c r="M434" s="680"/>
      <c r="N434" s="686"/>
      <c r="O434" s="690"/>
      <c r="Q434" s="680"/>
      <c r="S434" s="690"/>
    </row>
    <row r="435" spans="1:27" ht="12.75" customHeight="1">
      <c r="B435" s="804" t="s">
        <v>910</v>
      </c>
      <c r="H435" s="902" t="s">
        <v>10</v>
      </c>
      <c r="I435" s="812">
        <f>ROUNDDOWN((+I433*1.76),-1)</f>
        <v>29720</v>
      </c>
      <c r="J435" s="686" t="s">
        <v>39</v>
      </c>
      <c r="K435" s="691"/>
      <c r="M435" s="680"/>
      <c r="N435" s="686"/>
      <c r="O435" s="690"/>
      <c r="Q435" s="680"/>
      <c r="S435" s="690"/>
    </row>
    <row r="436" spans="1:27" ht="12.75" customHeight="1">
      <c r="B436" s="804"/>
      <c r="H436" s="902" t="s">
        <v>10</v>
      </c>
      <c r="I436" s="807"/>
      <c r="J436" s="686"/>
      <c r="K436" s="691"/>
      <c r="M436" s="678"/>
      <c r="N436" s="679"/>
      <c r="P436" s="680"/>
    </row>
    <row r="437" spans="1:27" ht="12.75" customHeight="1">
      <c r="A437" s="688"/>
      <c r="B437" s="964" t="s">
        <v>911</v>
      </c>
      <c r="H437" s="902" t="s">
        <v>10</v>
      </c>
      <c r="I437" s="807"/>
      <c r="J437" s="686"/>
      <c r="K437" s="691"/>
      <c r="M437" s="678"/>
      <c r="N437" s="800"/>
      <c r="O437" s="678"/>
      <c r="Q437" s="680"/>
      <c r="S437" s="690"/>
      <c r="U437" s="800"/>
      <c r="X437" s="680"/>
      <c r="AA437" s="690"/>
    </row>
    <row r="438" spans="1:27" ht="12.75" customHeight="1">
      <c r="B438" s="678" t="s">
        <v>897</v>
      </c>
      <c r="E438" s="967">
        <f>[3]งานกำแพงปากท่อ!D104</f>
        <v>3.5826208881569221</v>
      </c>
      <c r="F438" s="678" t="s">
        <v>27</v>
      </c>
      <c r="H438" s="902" t="s">
        <v>10</v>
      </c>
      <c r="I438" s="807">
        <f>$I$341*E438</f>
        <v>5668.1003333619474</v>
      </c>
      <c r="J438" s="686" t="s">
        <v>39</v>
      </c>
      <c r="K438" s="691"/>
      <c r="M438" s="894"/>
      <c r="N438" s="678"/>
      <c r="O438" s="690"/>
      <c r="Q438" s="894"/>
      <c r="S438" s="690"/>
      <c r="X438" s="894"/>
      <c r="AA438" s="690"/>
    </row>
    <row r="439" spans="1:27" ht="12.75" customHeight="1">
      <c r="B439" s="678" t="s">
        <v>898</v>
      </c>
      <c r="E439" s="967">
        <f>[3]งานกำแพงปากท่อ!D111</f>
        <v>9.5474799999999999E-2</v>
      </c>
      <c r="F439" s="678" t="s">
        <v>88</v>
      </c>
      <c r="H439" s="902" t="s">
        <v>10</v>
      </c>
      <c r="I439" s="807">
        <f>I359*E439/10</f>
        <v>197.1141214116</v>
      </c>
      <c r="J439" s="686" t="s">
        <v>39</v>
      </c>
      <c r="K439" s="691"/>
      <c r="M439" s="894"/>
      <c r="N439" s="678"/>
      <c r="O439" s="690"/>
      <c r="Q439" s="894"/>
      <c r="S439" s="690"/>
      <c r="X439" s="894"/>
      <c r="AA439" s="690"/>
    </row>
    <row r="440" spans="1:27" ht="12.75" customHeight="1">
      <c r="B440" s="678" t="s">
        <v>899</v>
      </c>
      <c r="E440" s="967">
        <f>E439*20</f>
        <v>1.9094959999999999</v>
      </c>
      <c r="F440" s="678" t="s">
        <v>900</v>
      </c>
      <c r="H440" s="902" t="s">
        <v>10</v>
      </c>
      <c r="I440" s="807">
        <f>[3]กรอกราคาวัสดุ!$D$46*E440</f>
        <v>81.153579999999991</v>
      </c>
      <c r="J440" s="686" t="s">
        <v>39</v>
      </c>
      <c r="K440" s="691"/>
      <c r="M440" s="894"/>
      <c r="N440" s="678"/>
      <c r="O440" s="690"/>
      <c r="Q440" s="894"/>
      <c r="S440" s="690"/>
      <c r="X440" s="894"/>
      <c r="AA440" s="690"/>
    </row>
    <row r="441" spans="1:27" ht="12.75" customHeight="1">
      <c r="B441" s="678" t="s">
        <v>901</v>
      </c>
      <c r="E441" s="967">
        <f>[3]งานกำแพงปากท่อ!D107</f>
        <v>5.0999999999999996</v>
      </c>
      <c r="F441" s="678" t="s">
        <v>26</v>
      </c>
      <c r="H441" s="902" t="s">
        <v>10</v>
      </c>
      <c r="I441" s="807">
        <f>[3]กรอกราคาวัสดุ!$D$47*E441</f>
        <v>2958</v>
      </c>
      <c r="J441" s="686" t="s">
        <v>39</v>
      </c>
      <c r="K441" s="691"/>
      <c r="M441" s="894"/>
      <c r="N441" s="678"/>
      <c r="O441" s="690"/>
      <c r="Q441" s="894"/>
      <c r="S441" s="690"/>
      <c r="X441" s="894"/>
      <c r="AA441" s="690"/>
    </row>
    <row r="442" spans="1:27" ht="12.75" customHeight="1">
      <c r="C442" s="678" t="s">
        <v>902</v>
      </c>
      <c r="H442" s="902" t="s">
        <v>10</v>
      </c>
      <c r="I442" s="834">
        <f>E441*[3]กรอกราคาวัสดุ!D59</f>
        <v>586.5</v>
      </c>
      <c r="J442" s="686" t="s">
        <v>39</v>
      </c>
      <c r="K442" s="691"/>
      <c r="M442" s="680"/>
      <c r="N442" s="678"/>
      <c r="O442" s="782"/>
      <c r="Q442" s="680"/>
      <c r="S442" s="782"/>
      <c r="X442" s="680"/>
      <c r="AA442" s="782"/>
    </row>
    <row r="443" spans="1:27" ht="12.75" customHeight="1">
      <c r="D443" s="678" t="s">
        <v>903</v>
      </c>
      <c r="H443" s="902" t="s">
        <v>10</v>
      </c>
      <c r="I443" s="807">
        <f>SUM(I438:I442)*2</f>
        <v>18981.736069547092</v>
      </c>
      <c r="J443" s="686" t="s">
        <v>39</v>
      </c>
      <c r="K443" s="691"/>
      <c r="M443" s="680"/>
      <c r="N443" s="686"/>
      <c r="O443" s="690"/>
      <c r="Q443" s="680"/>
      <c r="S443" s="690"/>
      <c r="X443" s="680"/>
      <c r="Z443" s="686"/>
      <c r="AA443" s="690"/>
    </row>
    <row r="444" spans="1:27" ht="12.75" customHeight="1">
      <c r="B444" s="804" t="s">
        <v>912</v>
      </c>
      <c r="H444" s="902" t="s">
        <v>10</v>
      </c>
      <c r="I444" s="812">
        <f>ROUNDDOWN(I443,-1)</f>
        <v>18980</v>
      </c>
      <c r="J444" s="686" t="s">
        <v>39</v>
      </c>
      <c r="K444" s="691"/>
      <c r="M444" s="680"/>
      <c r="N444" s="686"/>
      <c r="O444" s="690"/>
      <c r="Q444" s="680"/>
      <c r="S444" s="690"/>
      <c r="U444" s="804"/>
      <c r="X444" s="680"/>
      <c r="Z444" s="686"/>
      <c r="AA444" s="690"/>
    </row>
    <row r="445" spans="1:27" ht="12.75" customHeight="1">
      <c r="B445" s="804" t="s">
        <v>913</v>
      </c>
      <c r="H445" s="902" t="s">
        <v>10</v>
      </c>
      <c r="I445" s="812">
        <f>ROUNDDOWN((+I444*1.53),-1)</f>
        <v>29030</v>
      </c>
      <c r="J445" s="686" t="s">
        <v>39</v>
      </c>
      <c r="K445" s="691"/>
      <c r="M445" s="680"/>
      <c r="N445" s="686"/>
      <c r="O445" s="690"/>
      <c r="Q445" s="680"/>
      <c r="S445" s="690"/>
      <c r="U445" s="804"/>
      <c r="X445" s="680"/>
      <c r="Z445" s="686"/>
      <c r="AA445" s="690"/>
    </row>
    <row r="446" spans="1:27" ht="12.75" customHeight="1">
      <c r="B446" s="804" t="s">
        <v>914</v>
      </c>
      <c r="H446" s="902" t="s">
        <v>10</v>
      </c>
      <c r="I446" s="812">
        <f>ROUNDDOWN((+I444*2.09),-1)</f>
        <v>39660</v>
      </c>
      <c r="J446" s="686" t="s">
        <v>39</v>
      </c>
      <c r="K446" s="691"/>
      <c r="M446" s="680"/>
      <c r="N446" s="686"/>
      <c r="O446" s="690"/>
      <c r="Q446" s="680"/>
      <c r="S446" s="690"/>
      <c r="U446" s="804"/>
      <c r="X446" s="680"/>
      <c r="Z446" s="686"/>
      <c r="AA446" s="690"/>
    </row>
    <row r="447" spans="1:27" ht="12.75" customHeight="1">
      <c r="A447" s="688"/>
      <c r="B447" s="964" t="s">
        <v>915</v>
      </c>
      <c r="H447" s="902" t="s">
        <v>10</v>
      </c>
      <c r="I447" s="807"/>
      <c r="J447" s="686"/>
      <c r="K447" s="691"/>
      <c r="M447" s="678"/>
      <c r="N447" s="679"/>
      <c r="P447" s="680"/>
    </row>
    <row r="448" spans="1:27" ht="12.75" customHeight="1">
      <c r="B448" s="678" t="s">
        <v>897</v>
      </c>
      <c r="E448" s="967">
        <f>[3]งานกำแพงปากท่อ!D123</f>
        <v>4.1060508881569229</v>
      </c>
      <c r="F448" s="678" t="s">
        <v>27</v>
      </c>
      <c r="H448" s="902" t="s">
        <v>10</v>
      </c>
      <c r="I448" s="807">
        <f>$I$341*E448</f>
        <v>6496.2241706619488</v>
      </c>
      <c r="J448" s="686" t="s">
        <v>39</v>
      </c>
      <c r="K448" s="691"/>
      <c r="M448" s="894"/>
      <c r="N448" s="678"/>
      <c r="O448" s="690"/>
      <c r="Q448" s="894"/>
      <c r="S448" s="690"/>
    </row>
    <row r="449" spans="1:19" ht="12.75" customHeight="1">
      <c r="B449" s="678" t="s">
        <v>898</v>
      </c>
      <c r="E449" s="967">
        <f>[3]งานกำแพงปากท่อ!D130</f>
        <v>0.1126757</v>
      </c>
      <c r="F449" s="678" t="s">
        <v>88</v>
      </c>
      <c r="H449" s="902" t="s">
        <v>10</v>
      </c>
      <c r="I449" s="807">
        <f>I359*E449/10</f>
        <v>232.62653192190001</v>
      </c>
      <c r="J449" s="686" t="s">
        <v>39</v>
      </c>
      <c r="K449" s="691"/>
      <c r="M449" s="894"/>
      <c r="N449" s="678"/>
      <c r="O449" s="690"/>
      <c r="Q449" s="894"/>
      <c r="S449" s="690"/>
    </row>
    <row r="450" spans="1:19" ht="12.75" customHeight="1">
      <c r="B450" s="678" t="s">
        <v>899</v>
      </c>
      <c r="E450" s="967">
        <f>E449*20</f>
        <v>2.253514</v>
      </c>
      <c r="F450" s="678" t="s">
        <v>900</v>
      </c>
      <c r="H450" s="902" t="s">
        <v>10</v>
      </c>
      <c r="I450" s="807">
        <f>[3]กรอกราคาวัสดุ!$D$46*E450</f>
        <v>95.774344999999997</v>
      </c>
      <c r="J450" s="686" t="s">
        <v>39</v>
      </c>
      <c r="K450" s="691"/>
      <c r="M450" s="894"/>
      <c r="N450" s="678"/>
      <c r="O450" s="690"/>
      <c r="Q450" s="894"/>
      <c r="S450" s="690"/>
    </row>
    <row r="451" spans="1:19" ht="12.75" customHeight="1">
      <c r="B451" s="678" t="s">
        <v>901</v>
      </c>
      <c r="E451" s="967">
        <f>[3]งานกำแพงปากท่อ!D126</f>
        <v>6</v>
      </c>
      <c r="F451" s="678" t="s">
        <v>26</v>
      </c>
      <c r="H451" s="902" t="s">
        <v>10</v>
      </c>
      <c r="I451" s="807">
        <f>[3]กรอกราคาวัสดุ!$D$47*E451</f>
        <v>3480</v>
      </c>
      <c r="J451" s="686" t="s">
        <v>39</v>
      </c>
      <c r="K451" s="691"/>
      <c r="L451" s="894"/>
      <c r="M451" s="678"/>
      <c r="N451" s="678"/>
      <c r="O451" s="690"/>
      <c r="Q451" s="894"/>
      <c r="S451" s="690"/>
    </row>
    <row r="452" spans="1:19" ht="12.75" customHeight="1">
      <c r="C452" s="678" t="s">
        <v>902</v>
      </c>
      <c r="H452" s="902" t="s">
        <v>10</v>
      </c>
      <c r="I452" s="834">
        <f>ค่างานต้นทุน!E451*[3]กรอกราคาวัสดุ!D59</f>
        <v>690</v>
      </c>
      <c r="J452" s="686" t="s">
        <v>39</v>
      </c>
      <c r="K452" s="691"/>
      <c r="L452" s="680"/>
      <c r="M452" s="678"/>
      <c r="N452" s="678"/>
      <c r="O452" s="782"/>
      <c r="Q452" s="680"/>
      <c r="S452" s="782"/>
    </row>
    <row r="453" spans="1:19" ht="12.75" customHeight="1">
      <c r="D453" s="678" t="s">
        <v>903</v>
      </c>
      <c r="H453" s="902" t="s">
        <v>10</v>
      </c>
      <c r="I453" s="807">
        <f>SUM(I448:I452)*2</f>
        <v>21989.250095167699</v>
      </c>
      <c r="J453" s="686" t="s">
        <v>39</v>
      </c>
      <c r="K453" s="691"/>
      <c r="L453" s="680"/>
      <c r="M453" s="678"/>
      <c r="N453" s="686"/>
      <c r="O453" s="690"/>
      <c r="Q453" s="680"/>
      <c r="S453" s="690"/>
    </row>
    <row r="454" spans="1:19" ht="12.75" customHeight="1">
      <c r="B454" s="804" t="s">
        <v>916</v>
      </c>
      <c r="H454" s="902" t="s">
        <v>10</v>
      </c>
      <c r="I454" s="812">
        <f>ROUNDDOWN(I453,-1)</f>
        <v>21980</v>
      </c>
      <c r="J454" s="686" t="s">
        <v>39</v>
      </c>
      <c r="K454" s="691"/>
      <c r="L454" s="680"/>
      <c r="M454" s="678"/>
      <c r="N454" s="686"/>
      <c r="O454" s="690"/>
      <c r="Q454" s="680"/>
      <c r="S454" s="690"/>
    </row>
    <row r="455" spans="1:19" ht="12.75" customHeight="1">
      <c r="B455" s="804" t="s">
        <v>917</v>
      </c>
      <c r="H455" s="902" t="s">
        <v>10</v>
      </c>
      <c r="I455" s="812">
        <f>ROUNDDOWN((+I454*1.56),-1)</f>
        <v>34280</v>
      </c>
      <c r="J455" s="686" t="s">
        <v>39</v>
      </c>
      <c r="K455" s="691"/>
      <c r="L455" s="680"/>
      <c r="M455" s="678"/>
      <c r="N455" s="686"/>
      <c r="O455" s="690"/>
      <c r="Q455" s="680"/>
      <c r="S455" s="690"/>
    </row>
    <row r="456" spans="1:19" ht="12.75" customHeight="1">
      <c r="B456" s="804" t="s">
        <v>918</v>
      </c>
      <c r="H456" s="902" t="s">
        <v>10</v>
      </c>
      <c r="I456" s="812">
        <f>ROUNDDOWN((+I454*2.21),-1)</f>
        <v>48570</v>
      </c>
      <c r="J456" s="686" t="s">
        <v>39</v>
      </c>
      <c r="K456" s="691"/>
      <c r="L456" s="680"/>
      <c r="M456" s="678"/>
      <c r="N456" s="686"/>
      <c r="O456" s="690"/>
      <c r="Q456" s="680"/>
      <c r="S456" s="690"/>
    </row>
    <row r="457" spans="1:19" ht="12.75" customHeight="1">
      <c r="H457" s="902"/>
      <c r="I457" s="807"/>
      <c r="J457" s="686"/>
      <c r="K457" s="691"/>
      <c r="M457" s="678"/>
      <c r="N457" s="679"/>
      <c r="P457" s="680"/>
    </row>
    <row r="458" spans="1:19" ht="12.75" customHeight="1">
      <c r="A458" s="688"/>
      <c r="B458" s="964" t="s">
        <v>919</v>
      </c>
      <c r="H458" s="902"/>
      <c r="I458" s="807"/>
      <c r="J458" s="686"/>
      <c r="K458" s="691"/>
      <c r="M458" s="678"/>
      <c r="N458" s="679"/>
      <c r="P458" s="680"/>
    </row>
    <row r="459" spans="1:19" ht="12.75" customHeight="1">
      <c r="B459" s="678" t="s">
        <v>897</v>
      </c>
      <c r="E459" s="967">
        <f>[3]งานกำแพงปากท่อ!D142</f>
        <v>4.841220888156923</v>
      </c>
      <c r="F459" s="678" t="s">
        <v>27</v>
      </c>
      <c r="H459" s="902" t="s">
        <v>10</v>
      </c>
      <c r="I459" s="807">
        <f>$I$341*E459</f>
        <v>7659.3439793619491</v>
      </c>
      <c r="J459" s="686" t="s">
        <v>39</v>
      </c>
      <c r="K459" s="691"/>
      <c r="L459" s="894"/>
      <c r="M459" s="678"/>
      <c r="N459" s="678"/>
      <c r="O459" s="690"/>
      <c r="Q459" s="894"/>
      <c r="S459" s="690"/>
    </row>
    <row r="460" spans="1:19" ht="12.75" customHeight="1">
      <c r="B460" s="678" t="s">
        <v>898</v>
      </c>
      <c r="E460" s="967">
        <f>[3]งานกำแพงปากท่อ!D168</f>
        <v>0.14765880000000001</v>
      </c>
      <c r="F460" s="678" t="s">
        <v>88</v>
      </c>
      <c r="H460" s="902" t="s">
        <v>10</v>
      </c>
      <c r="I460" s="807">
        <f>I359*E460/10</f>
        <v>304.85148573959998</v>
      </c>
      <c r="J460" s="686" t="s">
        <v>39</v>
      </c>
      <c r="K460" s="691"/>
      <c r="L460" s="894"/>
      <c r="M460" s="678"/>
      <c r="N460" s="678"/>
      <c r="O460" s="690"/>
      <c r="Q460" s="894"/>
      <c r="S460" s="690"/>
    </row>
    <row r="461" spans="1:19" ht="12.75" customHeight="1">
      <c r="B461" s="678" t="s">
        <v>899</v>
      </c>
      <c r="E461" s="967">
        <f>E460*20</f>
        <v>2.953176</v>
      </c>
      <c r="F461" s="678" t="s">
        <v>900</v>
      </c>
      <c r="H461" s="902" t="s">
        <v>10</v>
      </c>
      <c r="I461" s="807">
        <f>[3]กรอกราคาวัสดุ!$D$46*E461</f>
        <v>125.50998</v>
      </c>
      <c r="J461" s="686" t="s">
        <v>39</v>
      </c>
      <c r="K461" s="691"/>
      <c r="L461" s="894"/>
      <c r="M461" s="678"/>
      <c r="N461" s="678"/>
      <c r="O461" s="690"/>
      <c r="Q461" s="894"/>
      <c r="S461" s="690"/>
    </row>
    <row r="462" spans="1:19" ht="12.75" customHeight="1">
      <c r="B462" s="678" t="s">
        <v>901</v>
      </c>
      <c r="E462" s="967">
        <f>[3]งานกำแพงปากท่อ!D164</f>
        <v>6</v>
      </c>
      <c r="F462" s="678" t="s">
        <v>26</v>
      </c>
      <c r="H462" s="902" t="s">
        <v>10</v>
      </c>
      <c r="I462" s="807">
        <f>[3]กรอกราคาวัสดุ!$D$47*E462</f>
        <v>3480</v>
      </c>
      <c r="J462" s="686" t="s">
        <v>39</v>
      </c>
      <c r="K462" s="691"/>
      <c r="L462" s="894"/>
      <c r="M462" s="678"/>
      <c r="N462" s="678"/>
      <c r="O462" s="690"/>
      <c r="Q462" s="894"/>
      <c r="S462" s="690"/>
    </row>
    <row r="463" spans="1:19" ht="12.75" customHeight="1">
      <c r="C463" s="678" t="s">
        <v>902</v>
      </c>
      <c r="H463" s="902" t="s">
        <v>10</v>
      </c>
      <c r="I463" s="834">
        <f>E462*[3]กรอกราคาวัสดุ!D59</f>
        <v>690</v>
      </c>
      <c r="J463" s="686" t="s">
        <v>39</v>
      </c>
      <c r="K463" s="691"/>
      <c r="L463" s="680"/>
      <c r="M463" s="678"/>
      <c r="N463" s="678"/>
      <c r="O463" s="782"/>
      <c r="Q463" s="680"/>
      <c r="S463" s="782"/>
    </row>
    <row r="464" spans="1:19" ht="12.75" customHeight="1">
      <c r="D464" s="678" t="s">
        <v>903</v>
      </c>
      <c r="H464" s="902" t="s">
        <v>10</v>
      </c>
      <c r="I464" s="807">
        <f>SUM(I459:I463)*2</f>
        <v>24519.4108902031</v>
      </c>
      <c r="J464" s="686" t="s">
        <v>39</v>
      </c>
      <c r="K464" s="691"/>
      <c r="L464" s="680"/>
      <c r="M464" s="678"/>
      <c r="N464" s="686"/>
      <c r="O464" s="690"/>
      <c r="Q464" s="680"/>
      <c r="S464" s="690"/>
    </row>
    <row r="465" spans="2:19" ht="12.75" customHeight="1">
      <c r="B465" s="804" t="s">
        <v>920</v>
      </c>
      <c r="H465" s="902" t="s">
        <v>10</v>
      </c>
      <c r="I465" s="812">
        <f>ROUNDDOWN(I464,-1)</f>
        <v>24510</v>
      </c>
      <c r="J465" s="686" t="s">
        <v>39</v>
      </c>
      <c r="K465" s="691"/>
      <c r="L465" s="680"/>
      <c r="M465" s="678"/>
      <c r="N465" s="686"/>
      <c r="O465" s="690"/>
      <c r="Q465" s="680"/>
      <c r="S465" s="690"/>
    </row>
    <row r="466" spans="2:19" ht="12.75" customHeight="1">
      <c r="B466" s="804" t="s">
        <v>921</v>
      </c>
      <c r="H466" s="902" t="s">
        <v>10</v>
      </c>
      <c r="I466" s="812">
        <f>ROUNDDOWN((+I465*1.67),-1)</f>
        <v>40930</v>
      </c>
      <c r="J466" s="686" t="s">
        <v>39</v>
      </c>
      <c r="K466" s="691"/>
      <c r="L466" s="680"/>
      <c r="M466" s="678"/>
      <c r="N466" s="686"/>
      <c r="O466" s="690"/>
      <c r="Q466" s="680"/>
      <c r="S466" s="690"/>
    </row>
    <row r="467" spans="2:19" ht="12.75" customHeight="1">
      <c r="B467" s="804" t="s">
        <v>922</v>
      </c>
      <c r="H467" s="902" t="s">
        <v>10</v>
      </c>
      <c r="I467" s="812">
        <f>ROUNDDOWN((+I465*2.29),-1)</f>
        <v>56120</v>
      </c>
      <c r="J467" s="686" t="s">
        <v>39</v>
      </c>
      <c r="K467" s="691"/>
      <c r="L467" s="680"/>
      <c r="M467" s="678"/>
      <c r="N467" s="686"/>
      <c r="O467" s="690"/>
      <c r="Q467" s="680"/>
      <c r="S467" s="690"/>
    </row>
    <row r="468" spans="2:19" ht="12.75" customHeight="1">
      <c r="G468" s="678"/>
      <c r="H468" s="678"/>
      <c r="I468" s="811"/>
      <c r="J468" s="678"/>
    </row>
    <row r="469" spans="2:19" ht="12.75" customHeight="1">
      <c r="G469" s="678"/>
      <c r="H469" s="678"/>
      <c r="I469" s="811"/>
      <c r="J469" s="678"/>
    </row>
    <row r="470" spans="2:19" ht="12.75" customHeight="1">
      <c r="G470" s="678"/>
      <c r="H470" s="678"/>
      <c r="I470" s="811"/>
      <c r="J470" s="678"/>
    </row>
    <row r="471" spans="2:19" ht="15.75" customHeight="1">
      <c r="G471" s="678"/>
      <c r="H471" s="678"/>
      <c r="I471" s="811"/>
      <c r="J471" s="678"/>
    </row>
    <row r="472" spans="2:19" ht="15.75" customHeight="1">
      <c r="I472" s="811"/>
    </row>
    <row r="473" spans="2:19" ht="15.75" customHeight="1">
      <c r="G473" s="678"/>
      <c r="H473" s="678"/>
      <c r="I473" s="811"/>
      <c r="J473" s="678"/>
    </row>
    <row r="474" spans="2:19" ht="15.75" customHeight="1">
      <c r="G474" s="678"/>
      <c r="H474" s="678"/>
      <c r="I474" s="811"/>
      <c r="J474" s="678"/>
    </row>
    <row r="475" spans="2:19" ht="15.75" customHeight="1">
      <c r="G475" s="678"/>
      <c r="H475" s="678"/>
      <c r="I475" s="811"/>
      <c r="J475" s="678"/>
    </row>
    <row r="476" spans="2:19" ht="15.75" customHeight="1">
      <c r="G476" s="678"/>
      <c r="H476" s="678"/>
      <c r="I476" s="811"/>
      <c r="J476" s="678"/>
    </row>
    <row r="477" spans="2:19" ht="15.75" customHeight="1">
      <c r="G477" s="678"/>
      <c r="H477" s="678"/>
      <c r="I477" s="811"/>
      <c r="J477" s="678"/>
    </row>
    <row r="478" spans="2:19" ht="15.75" customHeight="1">
      <c r="G478" s="678"/>
      <c r="H478" s="678"/>
      <c r="I478" s="811"/>
      <c r="J478" s="678"/>
    </row>
    <row r="479" spans="2:19" ht="15.75" customHeight="1">
      <c r="G479" s="678"/>
      <c r="H479" s="678"/>
      <c r="I479" s="811"/>
      <c r="J479" s="678"/>
    </row>
    <row r="480" spans="2:19" ht="15.75" customHeight="1">
      <c r="G480" s="678"/>
      <c r="H480" s="678"/>
      <c r="I480" s="811"/>
      <c r="J480" s="678"/>
    </row>
    <row r="481" spans="4:10" ht="15.75" customHeight="1">
      <c r="G481" s="678"/>
      <c r="H481" s="678"/>
      <c r="I481" s="811"/>
      <c r="J481" s="678"/>
    </row>
    <row r="482" spans="4:10" ht="15.75" customHeight="1">
      <c r="G482" s="678"/>
      <c r="H482" s="678"/>
      <c r="I482" s="811"/>
      <c r="J482" s="678"/>
    </row>
    <row r="483" spans="4:10" ht="15.75" customHeight="1">
      <c r="G483" s="678"/>
      <c r="I483" s="811"/>
    </row>
    <row r="484" spans="4:10" ht="15.75" customHeight="1">
      <c r="G484" s="678"/>
      <c r="I484" s="811"/>
    </row>
    <row r="485" spans="4:10" ht="15.75" customHeight="1">
      <c r="I485" s="811"/>
    </row>
    <row r="486" spans="4:10" ht="15.75" customHeight="1">
      <c r="D486" s="690"/>
      <c r="E486" s="698"/>
      <c r="I486" s="811"/>
    </row>
    <row r="487" spans="4:10" ht="15.75" customHeight="1">
      <c r="I487" s="811"/>
    </row>
    <row r="488" spans="4:10" ht="15.75" customHeight="1">
      <c r="I488" s="811"/>
    </row>
    <row r="489" spans="4:10" ht="15.75" customHeight="1">
      <c r="I489" s="811"/>
    </row>
    <row r="490" spans="4:10" ht="15.75" customHeight="1">
      <c r="I490" s="811"/>
    </row>
    <row r="491" spans="4:10" ht="15.75" customHeight="1">
      <c r="I491" s="811"/>
    </row>
    <row r="492" spans="4:10" ht="15.75" customHeight="1">
      <c r="I492" s="811"/>
    </row>
    <row r="493" spans="4:10" ht="15.75" customHeight="1">
      <c r="I493" s="811"/>
    </row>
    <row r="494" spans="4:10" ht="15.75" customHeight="1">
      <c r="I494" s="811"/>
    </row>
    <row r="495" spans="4:10" ht="15.75" customHeight="1">
      <c r="I495" s="811"/>
    </row>
    <row r="496" spans="4:10" ht="15.75" customHeight="1">
      <c r="I496" s="811"/>
    </row>
    <row r="497" spans="9:9" ht="15.75" customHeight="1">
      <c r="I497" s="811"/>
    </row>
    <row r="498" spans="9:9" ht="15.75" customHeight="1">
      <c r="I498" s="811"/>
    </row>
    <row r="499" spans="9:9" ht="15.75" customHeight="1">
      <c r="I499" s="811"/>
    </row>
    <row r="500" spans="9:9" ht="15.75" customHeight="1">
      <c r="I500" s="811"/>
    </row>
    <row r="501" spans="9:9" ht="15.75" customHeight="1">
      <c r="I501" s="811"/>
    </row>
    <row r="502" spans="9:9" ht="15.75" customHeight="1">
      <c r="I502" s="811"/>
    </row>
    <row r="503" spans="9:9" ht="15.75" customHeight="1">
      <c r="I503" s="811"/>
    </row>
    <row r="504" spans="9:9" ht="15.75" customHeight="1">
      <c r="I504" s="811"/>
    </row>
    <row r="505" spans="9:9" ht="15.75" customHeight="1">
      <c r="I505" s="811"/>
    </row>
    <row r="506" spans="9:9" ht="15.75" customHeight="1">
      <c r="I506" s="811"/>
    </row>
    <row r="507" spans="9:9" ht="15.75" customHeight="1">
      <c r="I507" s="811"/>
    </row>
    <row r="508" spans="9:9" ht="15.75" customHeight="1">
      <c r="I508" s="811"/>
    </row>
    <row r="509" spans="9:9" ht="15.75" customHeight="1">
      <c r="I509" s="811"/>
    </row>
    <row r="510" spans="9:9" ht="15.75" customHeight="1">
      <c r="I510" s="811"/>
    </row>
    <row r="511" spans="9:9" ht="15.75" customHeight="1">
      <c r="I511" s="811"/>
    </row>
    <row r="512" spans="9:9" ht="15.75" customHeight="1">
      <c r="I512" s="811"/>
    </row>
    <row r="513" spans="9:9" ht="15.75" customHeight="1">
      <c r="I513" s="811"/>
    </row>
    <row r="514" spans="9:9" ht="15.75" customHeight="1">
      <c r="I514" s="811"/>
    </row>
    <row r="515" spans="9:9" ht="15.75" customHeight="1">
      <c r="I515" s="811"/>
    </row>
    <row r="516" spans="9:9" ht="15.75" customHeight="1">
      <c r="I516" s="811"/>
    </row>
    <row r="517" spans="9:9" ht="15.75" customHeight="1">
      <c r="I517" s="811"/>
    </row>
    <row r="518" spans="9:9" ht="15.75" customHeight="1">
      <c r="I518" s="811"/>
    </row>
    <row r="519" spans="9:9" ht="15.75" customHeight="1">
      <c r="I519" s="811"/>
    </row>
    <row r="520" spans="9:9" ht="15.75" customHeight="1">
      <c r="I520" s="811"/>
    </row>
    <row r="521" spans="9:9" ht="15.75" customHeight="1">
      <c r="I521" s="811"/>
    </row>
    <row r="522" spans="9:9" ht="15.75" customHeight="1">
      <c r="I522" s="811"/>
    </row>
    <row r="523" spans="9:9" ht="15.75" customHeight="1">
      <c r="I523" s="811"/>
    </row>
    <row r="524" spans="9:9" ht="15.75" customHeight="1">
      <c r="I524" s="811"/>
    </row>
    <row r="525" spans="9:9" ht="15.75" customHeight="1">
      <c r="I525" s="811"/>
    </row>
    <row r="526" spans="9:9" ht="15.75" customHeight="1">
      <c r="I526" s="811"/>
    </row>
    <row r="527" spans="9:9" ht="15.75" customHeight="1">
      <c r="I527" s="811"/>
    </row>
    <row r="528" spans="9:9" ht="15.75" customHeight="1">
      <c r="I528" s="811"/>
    </row>
    <row r="529" spans="9:9" ht="15.75" customHeight="1">
      <c r="I529" s="811"/>
    </row>
    <row r="530" spans="9:9" ht="15.75" customHeight="1">
      <c r="I530" s="811"/>
    </row>
    <row r="531" spans="9:9" ht="15.75" customHeight="1">
      <c r="I531" s="811"/>
    </row>
    <row r="532" spans="9:9" ht="15.75" customHeight="1">
      <c r="I532" s="811"/>
    </row>
    <row r="533" spans="9:9" ht="15.75" customHeight="1">
      <c r="I533" s="811"/>
    </row>
    <row r="534" spans="9:9" ht="15.75" customHeight="1">
      <c r="I534" s="811"/>
    </row>
    <row r="535" spans="9:9" ht="15.75" customHeight="1">
      <c r="I535" s="811"/>
    </row>
    <row r="536" spans="9:9" ht="15.75" customHeight="1">
      <c r="I536" s="811"/>
    </row>
    <row r="537" spans="9:9" ht="15.75" customHeight="1">
      <c r="I537" s="811"/>
    </row>
    <row r="538" spans="9:9" ht="15.75" customHeight="1">
      <c r="I538" s="811"/>
    </row>
    <row r="539" spans="9:9" ht="15.75" customHeight="1">
      <c r="I539" s="811"/>
    </row>
    <row r="540" spans="9:9" ht="15.75" customHeight="1">
      <c r="I540" s="811"/>
    </row>
  </sheetData>
  <mergeCells count="23">
    <mergeCell ref="G37:H37"/>
    <mergeCell ref="G38:H38"/>
    <mergeCell ref="G39:H39"/>
    <mergeCell ref="G40:H40"/>
    <mergeCell ref="A41:B41"/>
    <mergeCell ref="G36:H36"/>
    <mergeCell ref="G22:H22"/>
    <mergeCell ref="G23:H23"/>
    <mergeCell ref="G24:H24"/>
    <mergeCell ref="G25:H25"/>
    <mergeCell ref="G28:H28"/>
    <mergeCell ref="G29:H29"/>
    <mergeCell ref="G30:H30"/>
    <mergeCell ref="G31:H31"/>
    <mergeCell ref="G32:H32"/>
    <mergeCell ref="G33:H33"/>
    <mergeCell ref="G35:H35"/>
    <mergeCell ref="G21:H21"/>
    <mergeCell ref="A1:K1"/>
    <mergeCell ref="A2:K2"/>
    <mergeCell ref="A3:K3"/>
    <mergeCell ref="F4:H4"/>
    <mergeCell ref="G20:H20"/>
  </mergeCells>
  <dataValidations count="3">
    <dataValidation type="list" allowBlank="1" showInputMessage="1" showErrorMessage="1" sqref="O27" xr:uid="{00000000-0002-0000-1500-000000000000}">
      <formula1>$N$26:$N$34</formula1>
    </dataValidation>
    <dataValidation type="list" allowBlank="1" showInputMessage="1" showErrorMessage="1" sqref="H26" xr:uid="{00000000-0002-0000-1500-000001000000}">
      <formula1>$N$25:$N$61</formula1>
    </dataValidation>
    <dataValidation type="list" allowBlank="1" showInputMessage="1" showErrorMessage="1" sqref="M26" xr:uid="{00000000-0002-0000-1500-000002000000}">
      <formula1>$N$26:$N$56</formula1>
    </dataValidation>
  </dataValidations>
  <pageMargins left="0.43" right="0" top="0.19685039370078741" bottom="0.19685039370078741" header="0.51181102362204722" footer="0.51181102362204722"/>
  <pageSetup paperSize="9" scale="81" orientation="portrait" horizontalDpi="300" verticalDpi="300" r:id="rId1"/>
  <headerFooter alignWithMargins="0"/>
  <rowBreaks count="5" manualBreakCount="5">
    <brk id="75" max="16383" man="1"/>
    <brk id="146" max="16383" man="1"/>
    <brk id="227" max="16383" man="1"/>
    <brk id="305" max="16383" man="1"/>
    <brk id="388" max="11" man="1"/>
  </rowBreaks>
  <colBreaks count="1" manualBreakCount="1">
    <brk id="1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3]!เมนู">
                <anchor moveWithCells="1" sizeWithCells="1">
                  <from>
                    <xdr:col>9</xdr:col>
                    <xdr:colOff>542925</xdr:colOff>
                    <xdr:row>0</xdr:row>
                    <xdr:rowOff>76200</xdr:rowOff>
                  </from>
                  <to>
                    <xdr:col>11</xdr:col>
                    <xdr:colOff>428625</xdr:colOff>
                    <xdr:row>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3]!เมนู">
                <anchor moveWithCells="1" sizeWithCells="1">
                  <from>
                    <xdr:col>9</xdr:col>
                    <xdr:colOff>428625</xdr:colOff>
                    <xdr:row>467</xdr:row>
                    <xdr:rowOff>66675</xdr:rowOff>
                  </from>
                  <to>
                    <xdr:col>11</xdr:col>
                    <xdr:colOff>371475</xdr:colOff>
                    <xdr:row>469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83"/>
  <sheetViews>
    <sheetView showGridLines="0" view="pageBreakPreview" zoomScale="70" zoomScaleSheetLayoutView="70" workbookViewId="0">
      <selection activeCell="A5" sqref="A5:W6"/>
    </sheetView>
  </sheetViews>
  <sheetFormatPr defaultColWidth="9.140625" defaultRowHeight="24.95" customHeight="1"/>
  <cols>
    <col min="1" max="1" width="7.5703125" style="1065" customWidth="1"/>
    <col min="2" max="2" width="9.85546875" style="1065" customWidth="1"/>
    <col min="3" max="3" width="14" style="1065" customWidth="1"/>
    <col min="4" max="4" width="15.42578125" style="1065" customWidth="1"/>
    <col min="5" max="5" width="9.85546875" style="1065" customWidth="1"/>
    <col min="6" max="6" width="11.85546875" style="1065" customWidth="1"/>
    <col min="7" max="7" width="21.28515625" style="1065" customWidth="1"/>
    <col min="8" max="8" width="7" style="1065" customWidth="1"/>
    <col min="9" max="10" width="9.85546875" style="1065" customWidth="1"/>
    <col min="11" max="11" width="26.28515625" style="1065" customWidth="1"/>
    <col min="12" max="12" width="9.85546875" style="1065" customWidth="1"/>
    <col min="13" max="13" width="10.7109375" style="1065" customWidth="1"/>
    <col min="14" max="14" width="9.85546875" style="1065" customWidth="1"/>
    <col min="15" max="15" width="8.7109375" style="1065" customWidth="1"/>
    <col min="16" max="16" width="13.140625" style="1065" customWidth="1"/>
    <col min="17" max="17" width="8" style="1065" customWidth="1"/>
    <col min="18" max="18" width="17.28515625" style="1065" customWidth="1"/>
    <col min="19" max="19" width="13.7109375" style="1065" customWidth="1"/>
    <col min="20" max="20" width="12.5703125" style="1065" customWidth="1"/>
    <col min="21" max="21" width="16.7109375" style="1065" customWidth="1"/>
    <col min="22" max="22" width="9.85546875" style="1065" customWidth="1"/>
    <col min="23" max="23" width="12.28515625" style="1065" customWidth="1"/>
    <col min="24" max="16384" width="9.140625" style="1065"/>
  </cols>
  <sheetData>
    <row r="1" spans="1:23" ht="24.95" customHeight="1">
      <c r="A1" s="2015" t="e">
        <f>#REF!</f>
        <v>#REF!</v>
      </c>
      <c r="B1" s="2016"/>
      <c r="C1" s="2016"/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6"/>
      <c r="R1" s="2016"/>
      <c r="S1" s="2016"/>
      <c r="T1" s="2016"/>
      <c r="U1" s="2016"/>
      <c r="V1" s="2016"/>
      <c r="W1" s="2017"/>
    </row>
    <row r="2" spans="1:23" ht="24.95" customHeight="1">
      <c r="A2" s="2018"/>
      <c r="B2" s="2019"/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2019"/>
      <c r="Q2" s="2019"/>
      <c r="R2" s="2019"/>
      <c r="S2" s="2019"/>
      <c r="T2" s="2019"/>
      <c r="U2" s="2019"/>
      <c r="V2" s="2019"/>
      <c r="W2" s="2020"/>
    </row>
    <row r="3" spans="1:23" ht="24.95" customHeight="1">
      <c r="A3" s="2012" t="e">
        <f>#REF!</f>
        <v>#REF!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2013"/>
      <c r="M3" s="2013"/>
      <c r="N3" s="2013"/>
      <c r="O3" s="2013"/>
      <c r="P3" s="2013"/>
      <c r="Q3" s="2013"/>
      <c r="R3" s="2013"/>
      <c r="S3" s="2013"/>
      <c r="T3" s="2013"/>
      <c r="U3" s="2013"/>
      <c r="V3" s="2013"/>
      <c r="W3" s="2014"/>
    </row>
    <row r="4" spans="1:23" ht="24.95" customHeight="1">
      <c r="A4" s="2012"/>
      <c r="B4" s="2013"/>
      <c r="C4" s="2013"/>
      <c r="D4" s="2013"/>
      <c r="E4" s="2013"/>
      <c r="F4" s="2013"/>
      <c r="G4" s="2013"/>
      <c r="H4" s="2013"/>
      <c r="I4" s="2013"/>
      <c r="J4" s="2013"/>
      <c r="K4" s="2013"/>
      <c r="L4" s="2013"/>
      <c r="M4" s="2013"/>
      <c r="N4" s="2013"/>
      <c r="O4" s="2013"/>
      <c r="P4" s="2013"/>
      <c r="Q4" s="2013"/>
      <c r="R4" s="2013"/>
      <c r="S4" s="2013"/>
      <c r="T4" s="2013"/>
      <c r="U4" s="2013"/>
      <c r="V4" s="2013"/>
      <c r="W4" s="2014"/>
    </row>
    <row r="5" spans="1:23" ht="24.95" customHeight="1">
      <c r="A5" s="2109" t="s">
        <v>1172</v>
      </c>
      <c r="B5" s="2110"/>
      <c r="C5" s="2110"/>
      <c r="D5" s="2110"/>
      <c r="E5" s="2110"/>
      <c r="F5" s="2110"/>
      <c r="G5" s="2110"/>
      <c r="H5" s="2110"/>
      <c r="I5" s="2110"/>
      <c r="J5" s="2110"/>
      <c r="K5" s="2110"/>
      <c r="L5" s="2110"/>
      <c r="M5" s="2110"/>
      <c r="N5" s="2110"/>
      <c r="O5" s="2110"/>
      <c r="P5" s="2110"/>
      <c r="Q5" s="2110"/>
      <c r="R5" s="2110"/>
      <c r="S5" s="2110"/>
      <c r="T5" s="2110"/>
      <c r="U5" s="2110"/>
      <c r="V5" s="2110"/>
      <c r="W5" s="2111"/>
    </row>
    <row r="6" spans="1:23" ht="24.95" customHeight="1">
      <c r="A6" s="2109"/>
      <c r="B6" s="2110"/>
      <c r="C6" s="2110"/>
      <c r="D6" s="2110"/>
      <c r="E6" s="2110"/>
      <c r="F6" s="2110"/>
      <c r="G6" s="2110"/>
      <c r="H6" s="2110"/>
      <c r="I6" s="2110"/>
      <c r="J6" s="2110"/>
      <c r="K6" s="2110"/>
      <c r="L6" s="2110"/>
      <c r="M6" s="2110"/>
      <c r="N6" s="2110"/>
      <c r="O6" s="2110"/>
      <c r="P6" s="2110"/>
      <c r="Q6" s="2110"/>
      <c r="R6" s="2110"/>
      <c r="S6" s="2110"/>
      <c r="T6" s="2110"/>
      <c r="U6" s="2110"/>
      <c r="V6" s="2110"/>
      <c r="W6" s="2111"/>
    </row>
    <row r="7" spans="1:23" ht="24.95" customHeight="1">
      <c r="A7" s="1227"/>
      <c r="B7" s="1228"/>
      <c r="C7" s="1228"/>
      <c r="D7" s="1228"/>
      <c r="E7" s="1228"/>
      <c r="F7" s="1228"/>
      <c r="G7" s="1228"/>
      <c r="H7" s="1228"/>
      <c r="I7" s="1228"/>
      <c r="J7" s="1228"/>
      <c r="K7" s="1228"/>
      <c r="L7" s="1228"/>
      <c r="M7" s="1228"/>
      <c r="N7" s="1228"/>
      <c r="O7" s="1228"/>
      <c r="P7" s="1228"/>
      <c r="Q7" s="1228"/>
      <c r="R7" s="1228"/>
      <c r="S7" s="1228"/>
      <c r="T7" s="1228"/>
      <c r="U7" s="1228"/>
      <c r="V7" s="1228"/>
      <c r="W7" s="1229"/>
    </row>
    <row r="8" spans="1:23" ht="24.95" customHeight="1">
      <c r="A8" s="254"/>
      <c r="B8" s="215"/>
      <c r="C8" s="215"/>
      <c r="D8" s="215"/>
      <c r="E8" s="215"/>
      <c r="F8" s="215"/>
      <c r="G8" s="215"/>
      <c r="H8" s="215"/>
      <c r="I8" s="215"/>
      <c r="J8" s="1953"/>
      <c r="K8" s="1953"/>
      <c r="L8" s="1076"/>
      <c r="M8" s="215"/>
      <c r="N8" s="215"/>
      <c r="O8" s="215"/>
      <c r="P8" s="215"/>
      <c r="Q8" s="215"/>
      <c r="R8" s="215"/>
      <c r="S8" s="215"/>
      <c r="T8" s="215"/>
      <c r="U8" s="215"/>
      <c r="V8" s="178"/>
      <c r="W8" s="253"/>
    </row>
    <row r="9" spans="1:23" ht="24.95" customHeight="1">
      <c r="A9" s="235"/>
      <c r="B9" s="215"/>
      <c r="C9" s="215"/>
      <c r="D9" s="215"/>
      <c r="E9" s="215"/>
      <c r="F9" s="1075"/>
      <c r="H9" s="215"/>
      <c r="I9" s="215"/>
      <c r="J9" s="256"/>
      <c r="L9" s="644"/>
      <c r="M9" s="215"/>
      <c r="N9" s="215"/>
      <c r="O9" s="1075"/>
      <c r="P9" s="215"/>
      <c r="Q9" s="215"/>
      <c r="R9" s="215"/>
      <c r="S9" s="215"/>
      <c r="T9" s="215"/>
      <c r="U9" s="215"/>
      <c r="V9" s="178"/>
      <c r="W9" s="253"/>
    </row>
    <row r="10" spans="1:23" ht="24.95" customHeight="1">
      <c r="A10" s="235"/>
      <c r="B10" s="215"/>
      <c r="C10" s="215"/>
      <c r="D10" s="215"/>
      <c r="E10" s="215"/>
      <c r="F10" s="1075"/>
      <c r="G10" s="257"/>
      <c r="H10" s="215"/>
      <c r="I10" s="215"/>
      <c r="J10" s="1953"/>
      <c r="K10" s="1953"/>
      <c r="L10" s="257"/>
      <c r="M10" s="215"/>
      <c r="N10" s="215"/>
      <c r="O10" s="1075"/>
      <c r="P10" s="257"/>
      <c r="Q10" s="215"/>
      <c r="R10" s="215"/>
      <c r="S10" s="215"/>
      <c r="T10" s="215"/>
      <c r="U10" s="215"/>
      <c r="V10" s="178"/>
      <c r="W10" s="253"/>
    </row>
    <row r="11" spans="1:23" ht="24.95" customHeight="1">
      <c r="A11" s="258"/>
      <c r="B11" s="259"/>
      <c r="C11" s="259"/>
      <c r="D11" s="215"/>
      <c r="E11" s="215"/>
      <c r="F11" s="257"/>
      <c r="G11" s="176"/>
      <c r="H11" s="1947"/>
      <c r="I11" s="1947"/>
      <c r="J11" s="257"/>
      <c r="K11" s="666"/>
      <c r="L11" s="644"/>
      <c r="M11" s="260"/>
      <c r="N11" s="260"/>
      <c r="O11" s="176"/>
      <c r="P11" s="644"/>
      <c r="Q11" s="1074"/>
      <c r="R11" s="215"/>
      <c r="S11" s="215"/>
      <c r="T11" s="215"/>
      <c r="U11" s="215"/>
      <c r="V11" s="178"/>
      <c r="W11" s="253"/>
    </row>
    <row r="12" spans="1:23" ht="24.95" customHeight="1">
      <c r="A12" s="261"/>
      <c r="B12" s="262"/>
      <c r="C12" s="215"/>
      <c r="D12" s="263"/>
      <c r="E12" s="264"/>
      <c r="F12" s="265"/>
      <c r="G12" s="1067"/>
      <c r="H12" s="267"/>
      <c r="I12" s="1068"/>
      <c r="J12" s="1075"/>
      <c r="K12" s="269"/>
      <c r="L12" s="1069"/>
      <c r="M12" s="215"/>
      <c r="N12" s="1070"/>
      <c r="O12" s="1069"/>
      <c r="P12" s="215"/>
      <c r="Q12" s="215"/>
      <c r="R12" s="215"/>
      <c r="S12" s="215"/>
      <c r="T12" s="215"/>
      <c r="U12" s="215"/>
      <c r="V12" s="178"/>
      <c r="W12" s="253"/>
    </row>
    <row r="13" spans="1:23" ht="24.95" customHeight="1">
      <c r="A13" s="235"/>
      <c r="B13" s="215"/>
      <c r="C13" s="178"/>
      <c r="D13" s="272"/>
      <c r="E13" s="264"/>
      <c r="F13" s="273"/>
      <c r="G13" s="178"/>
      <c r="H13" s="215"/>
      <c r="I13" s="215"/>
      <c r="J13" s="215"/>
      <c r="K13" s="215"/>
      <c r="L13" s="215"/>
      <c r="M13" s="215"/>
      <c r="N13" s="274"/>
      <c r="O13" s="274"/>
      <c r="P13" s="275"/>
      <c r="Q13" s="2010"/>
      <c r="R13" s="275"/>
      <c r="S13" s="275"/>
      <c r="T13" s="276"/>
      <c r="U13" s="215"/>
      <c r="V13" s="178"/>
      <c r="W13" s="253"/>
    </row>
    <row r="14" spans="1:23" ht="24.95" customHeight="1">
      <c r="A14" s="235"/>
      <c r="B14" s="215"/>
      <c r="C14" s="277"/>
      <c r="D14" s="272"/>
      <c r="E14" s="264"/>
      <c r="F14" s="178"/>
      <c r="G14" s="215"/>
      <c r="H14" s="215"/>
      <c r="I14" s="215"/>
      <c r="J14" s="215"/>
      <c r="K14" s="215"/>
      <c r="L14" s="215"/>
      <c r="M14" s="215"/>
      <c r="N14" s="215"/>
      <c r="O14" s="275"/>
      <c r="P14" s="275"/>
      <c r="Q14" s="2010"/>
      <c r="R14" s="275"/>
      <c r="S14" s="275"/>
      <c r="T14" s="276"/>
      <c r="U14" s="278"/>
      <c r="V14" s="178"/>
      <c r="W14" s="253"/>
    </row>
    <row r="15" spans="1:23" ht="24.95" customHeight="1">
      <c r="A15" s="279"/>
      <c r="B15" s="257"/>
      <c r="C15" s="257"/>
      <c r="D15" s="257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75"/>
      <c r="R15" s="275"/>
      <c r="S15" s="275"/>
      <c r="T15" s="215"/>
      <c r="U15" s="215"/>
      <c r="V15" s="178"/>
      <c r="W15" s="253"/>
    </row>
    <row r="16" spans="1:23" ht="24.95" customHeight="1">
      <c r="A16" s="23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178"/>
      <c r="W16" s="253"/>
    </row>
    <row r="17" spans="1:23" ht="24.95" customHeight="1">
      <c r="A17" s="235"/>
      <c r="B17" s="215"/>
      <c r="C17" s="215"/>
      <c r="D17" s="215"/>
      <c r="E17" s="215"/>
      <c r="F17" s="215"/>
      <c r="G17" s="178"/>
      <c r="H17" s="215"/>
      <c r="I17" s="215"/>
      <c r="J17" s="176"/>
      <c r="K17" s="215"/>
      <c r="L17" s="215"/>
      <c r="M17" s="215"/>
      <c r="N17" s="176"/>
      <c r="O17" s="176"/>
      <c r="P17" s="176"/>
      <c r="Q17" s="215"/>
      <c r="R17" s="176"/>
      <c r="S17" s="215"/>
      <c r="T17" s="215"/>
      <c r="U17" s="215"/>
      <c r="V17" s="215"/>
      <c r="W17" s="253"/>
    </row>
    <row r="18" spans="1:23" ht="24.95" customHeight="1">
      <c r="A18" s="180"/>
      <c r="B18" s="280"/>
      <c r="C18" s="280"/>
      <c r="D18" s="280"/>
      <c r="E18" s="280"/>
      <c r="F18" s="215"/>
      <c r="G18" s="215"/>
      <c r="H18" s="215"/>
      <c r="J18" s="176"/>
      <c r="K18" s="176"/>
      <c r="L18" s="215"/>
      <c r="M18" s="215"/>
      <c r="N18" s="176"/>
      <c r="O18" s="176"/>
      <c r="P18" s="286"/>
      <c r="R18" s="215"/>
      <c r="S18" s="176"/>
      <c r="T18" s="176"/>
      <c r="U18" s="176"/>
      <c r="V18" s="215"/>
      <c r="W18" s="253"/>
    </row>
    <row r="19" spans="1:23" ht="24.95" customHeight="1">
      <c r="A19" s="180"/>
      <c r="B19" s="215"/>
      <c r="C19" s="281"/>
      <c r="D19" s="176"/>
      <c r="E19" s="176"/>
      <c r="F19" s="215"/>
      <c r="G19" s="176"/>
      <c r="H19" s="215"/>
      <c r="I19" s="615"/>
      <c r="K19" s="176"/>
      <c r="L19" s="176"/>
      <c r="M19" s="215"/>
      <c r="N19" s="176"/>
      <c r="O19" s="215"/>
      <c r="P19" s="176"/>
      <c r="R19" s="215"/>
      <c r="S19" s="215"/>
      <c r="T19" s="1075"/>
      <c r="U19" s="301"/>
      <c r="V19" s="176"/>
      <c r="W19" s="253"/>
    </row>
    <row r="20" spans="1:23" ht="24.95" customHeight="1">
      <c r="A20" s="235"/>
      <c r="B20" s="215"/>
      <c r="C20" s="215"/>
      <c r="D20" s="176"/>
      <c r="E20" s="615"/>
      <c r="F20" s="215"/>
      <c r="G20" s="176"/>
      <c r="H20" s="176"/>
      <c r="I20" s="215"/>
      <c r="J20" s="176"/>
      <c r="K20" s="176"/>
      <c r="L20" s="215"/>
      <c r="M20" s="215"/>
      <c r="N20" s="176"/>
      <c r="O20" s="215"/>
      <c r="P20" s="176"/>
      <c r="R20" s="215"/>
      <c r="S20" s="215"/>
      <c r="T20" s="215"/>
      <c r="U20" s="215"/>
      <c r="V20" s="215"/>
      <c r="W20" s="253"/>
    </row>
    <row r="21" spans="1:23" ht="24.95" customHeight="1">
      <c r="A21" s="282"/>
      <c r="B21" s="1078"/>
      <c r="C21" s="1078"/>
      <c r="D21" s="176"/>
      <c r="E21" s="176"/>
      <c r="F21" s="1078"/>
      <c r="G21" s="215"/>
      <c r="I21" s="215"/>
      <c r="J21" s="176"/>
      <c r="K21" s="215"/>
      <c r="L21" s="215"/>
      <c r="M21" s="215"/>
      <c r="N21" s="176"/>
      <c r="O21" s="176"/>
      <c r="P21" s="176"/>
      <c r="Q21" s="215"/>
      <c r="R21" s="176"/>
      <c r="S21" s="310"/>
      <c r="T21" s="215"/>
      <c r="U21" s="262"/>
      <c r="V21" s="283"/>
      <c r="W21" s="253"/>
    </row>
    <row r="22" spans="1:23" ht="24.95" customHeight="1">
      <c r="A22" s="284"/>
      <c r="B22" s="215"/>
      <c r="C22" s="224"/>
      <c r="D22" s="176"/>
      <c r="E22" s="176"/>
      <c r="F22" s="1079"/>
      <c r="G22" s="215"/>
      <c r="J22" s="215" t="s">
        <v>412</v>
      </c>
      <c r="K22" s="215"/>
      <c r="L22" s="215"/>
      <c r="M22" s="215"/>
      <c r="N22" s="176"/>
      <c r="O22" s="215" t="s">
        <v>341</v>
      </c>
      <c r="P22" s="215"/>
      <c r="Q22" s="215"/>
      <c r="R22" s="215"/>
      <c r="S22" s="215"/>
      <c r="T22" s="215"/>
      <c r="U22" s="215"/>
      <c r="V22" s="215"/>
      <c r="W22" s="253"/>
    </row>
    <row r="23" spans="1:23" ht="24.95" customHeight="1">
      <c r="A23" s="284"/>
      <c r="B23" s="215"/>
      <c r="C23" s="224"/>
      <c r="D23" s="176"/>
      <c r="E23" s="176"/>
      <c r="F23" s="1079"/>
      <c r="G23" s="185"/>
      <c r="H23" s="176"/>
      <c r="I23" s="657"/>
      <c r="J23" s="176"/>
      <c r="K23" s="215"/>
      <c r="L23" s="215"/>
      <c r="M23" s="215"/>
      <c r="N23" s="176"/>
      <c r="P23" s="215"/>
      <c r="Q23" s="215"/>
      <c r="R23" s="215"/>
      <c r="S23" s="215"/>
      <c r="T23" s="176"/>
      <c r="U23" s="176"/>
      <c r="V23" s="176"/>
      <c r="W23" s="253"/>
    </row>
    <row r="24" spans="1:23" ht="24.95" customHeight="1">
      <c r="A24" s="284"/>
      <c r="B24" s="215"/>
      <c r="C24" s="224"/>
      <c r="D24" s="1079"/>
      <c r="E24" s="176"/>
      <c r="F24" s="1079"/>
      <c r="G24" s="185"/>
      <c r="H24" s="176"/>
      <c r="J24" s="1079"/>
      <c r="K24" s="215"/>
      <c r="L24" s="215"/>
      <c r="M24" s="215"/>
      <c r="N24" s="176"/>
      <c r="O24" s="176"/>
      <c r="P24" s="286"/>
      <c r="Q24" s="215"/>
      <c r="R24" s="215"/>
      <c r="S24" s="215"/>
      <c r="T24" s="215"/>
      <c r="U24" s="215"/>
      <c r="V24" s="215"/>
      <c r="W24" s="253"/>
    </row>
    <row r="25" spans="1:23" ht="24.95" customHeight="1">
      <c r="A25" s="284"/>
      <c r="B25" s="215"/>
      <c r="C25" s="224"/>
      <c r="D25" s="224"/>
      <c r="E25" s="224"/>
      <c r="F25" s="1079"/>
      <c r="G25" s="185"/>
      <c r="H25" s="1071"/>
      <c r="I25" s="176"/>
      <c r="J25" s="1079"/>
      <c r="K25" s="215"/>
      <c r="L25" s="215"/>
      <c r="M25" s="215"/>
      <c r="N25" s="176"/>
      <c r="Q25" s="215"/>
      <c r="R25" s="215"/>
      <c r="S25" s="215"/>
      <c r="T25" s="215"/>
      <c r="U25" s="215"/>
      <c r="V25" s="178"/>
      <c r="W25" s="253"/>
    </row>
    <row r="26" spans="1:23" ht="24.95" customHeight="1">
      <c r="A26" s="235"/>
      <c r="B26" s="287"/>
      <c r="C26" s="288"/>
      <c r="D26" s="289"/>
      <c r="E26" s="289"/>
      <c r="F26" s="289"/>
      <c r="G26" s="289"/>
      <c r="H26" s="288"/>
      <c r="I26" s="1072"/>
      <c r="J26" s="1079"/>
      <c r="K26" s="287"/>
      <c r="L26" s="288"/>
      <c r="M26" s="289"/>
      <c r="N26" s="176"/>
      <c r="O26" s="215"/>
      <c r="P26" s="215"/>
      <c r="Q26" s="288"/>
      <c r="R26" s="1072"/>
      <c r="S26" s="1072"/>
      <c r="T26" s="215"/>
      <c r="U26" s="215"/>
      <c r="V26" s="215"/>
      <c r="W26" s="253"/>
    </row>
    <row r="27" spans="1:23" ht="24.95" customHeight="1">
      <c r="A27" s="235"/>
      <c r="B27" s="1078"/>
      <c r="C27" s="1078"/>
      <c r="D27" s="1078"/>
      <c r="E27" s="1078"/>
      <c r="F27" s="1078"/>
      <c r="G27" s="1078"/>
      <c r="H27" s="1078"/>
      <c r="I27" s="1078"/>
      <c r="J27" s="178"/>
      <c r="K27" s="1078"/>
      <c r="L27" s="1078"/>
      <c r="M27" s="1078"/>
      <c r="N27" s="1078"/>
      <c r="O27" s="176"/>
      <c r="P27" s="1078"/>
      <c r="Q27" s="1078"/>
      <c r="R27" s="2011"/>
      <c r="S27" s="2011"/>
      <c r="T27" s="2011"/>
      <c r="U27" s="215"/>
      <c r="V27" s="215"/>
      <c r="W27" s="253"/>
    </row>
    <row r="28" spans="1:23" ht="24.95" customHeight="1">
      <c r="A28" s="235"/>
      <c r="B28" s="291"/>
      <c r="C28" s="292" t="s">
        <v>1167</v>
      </c>
      <c r="D28" s="293"/>
      <c r="E28" s="293"/>
      <c r="F28" s="294"/>
      <c r="G28" s="293"/>
      <c r="H28" s="1073"/>
      <c r="I28" s="296"/>
      <c r="J28" s="185"/>
      <c r="K28" s="297"/>
      <c r="L28" s="294"/>
      <c r="M28" s="298"/>
      <c r="N28" s="293"/>
      <c r="O28" s="294"/>
      <c r="P28" s="293"/>
      <c r="Q28" s="228"/>
      <c r="R28" s="294"/>
      <c r="S28" s="294"/>
      <c r="T28" s="294"/>
      <c r="U28" s="294"/>
      <c r="V28" s="294"/>
      <c r="W28" s="253"/>
    </row>
    <row r="29" spans="1:23" ht="24.95" customHeight="1">
      <c r="A29" s="235"/>
      <c r="B29" s="297"/>
      <c r="C29" s="292" t="s">
        <v>1008</v>
      </c>
      <c r="D29" s="293"/>
      <c r="E29" s="293"/>
      <c r="F29" s="294"/>
      <c r="G29" s="293"/>
      <c r="H29" s="1073"/>
      <c r="I29" s="296"/>
      <c r="J29" s="185"/>
      <c r="K29" s="297"/>
      <c r="L29" s="299"/>
      <c r="M29" s="293"/>
      <c r="N29" s="293"/>
      <c r="O29" s="294"/>
      <c r="P29" s="293"/>
      <c r="Q29" s="300"/>
      <c r="R29" s="300"/>
      <c r="S29" s="300"/>
      <c r="T29" s="294"/>
      <c r="U29" s="294"/>
      <c r="V29" s="294"/>
      <c r="W29" s="253"/>
    </row>
    <row r="30" spans="1:23" ht="24.95" customHeight="1">
      <c r="A30" s="235"/>
      <c r="B30" s="297"/>
      <c r="C30" s="176"/>
      <c r="D30" s="293"/>
      <c r="E30" s="293"/>
      <c r="F30" s="294"/>
      <c r="G30" s="293"/>
      <c r="H30" s="1073"/>
      <c r="I30" s="293"/>
      <c r="J30" s="301"/>
      <c r="K30" s="1079"/>
      <c r="L30" s="1079"/>
      <c r="M30" s="298"/>
      <c r="N30" s="302" t="s">
        <v>15</v>
      </c>
      <c r="O30" s="303" t="s">
        <v>346</v>
      </c>
      <c r="P30" s="304"/>
      <c r="Q30" s="305"/>
      <c r="R30" s="305"/>
      <c r="S30" s="211"/>
      <c r="T30" s="211"/>
      <c r="U30" s="211"/>
      <c r="V30" s="211"/>
      <c r="W30" s="209"/>
    </row>
    <row r="31" spans="1:23" ht="24.95" customHeight="1">
      <c r="A31" s="235"/>
      <c r="B31" s="306" t="s">
        <v>15</v>
      </c>
      <c r="C31" s="176"/>
      <c r="D31" s="293"/>
      <c r="E31" s="293"/>
      <c r="F31" s="294"/>
      <c r="G31" s="293"/>
      <c r="H31" s="1073"/>
      <c r="I31" s="293"/>
      <c r="J31" s="301"/>
      <c r="K31" s="1079"/>
      <c r="L31" s="1079"/>
      <c r="M31" s="298"/>
      <c r="N31" s="303"/>
      <c r="O31" s="307" t="s">
        <v>347</v>
      </c>
      <c r="P31" s="304"/>
      <c r="Q31" s="305"/>
      <c r="R31" s="305"/>
      <c r="S31" s="211"/>
      <c r="T31" s="211"/>
      <c r="U31" s="211"/>
      <c r="V31" s="211"/>
      <c r="W31" s="209"/>
    </row>
    <row r="32" spans="1:23" ht="24.95" customHeight="1" thickBot="1">
      <c r="A32" s="235"/>
      <c r="B32" s="178" t="s">
        <v>1170</v>
      </c>
      <c r="C32" s="176"/>
      <c r="D32" s="298"/>
      <c r="E32" s="293"/>
      <c r="F32" s="294"/>
      <c r="G32" s="293"/>
      <c r="H32" s="1073"/>
      <c r="I32" s="293"/>
      <c r="J32" s="178"/>
      <c r="K32" s="1079"/>
      <c r="L32" s="1079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5"/>
    </row>
    <row r="33" spans="1:23" ht="24.95" customHeight="1">
      <c r="A33" s="235"/>
      <c r="B33" s="178" t="s">
        <v>1169</v>
      </c>
      <c r="C33" s="176"/>
      <c r="D33" s="298"/>
      <c r="E33" s="293"/>
      <c r="F33" s="294"/>
      <c r="G33" s="293"/>
      <c r="H33" s="1073"/>
      <c r="I33" s="293"/>
      <c r="J33" s="178"/>
      <c r="K33" s="1079"/>
      <c r="L33" s="1079"/>
      <c r="M33" s="1983" t="s">
        <v>1165</v>
      </c>
      <c r="N33" s="1984"/>
      <c r="O33" s="1984"/>
      <c r="P33" s="1984"/>
      <c r="Q33" s="1984"/>
      <c r="R33" s="1984"/>
      <c r="S33" s="1984"/>
      <c r="T33" s="1984"/>
      <c r="U33" s="1984"/>
      <c r="V33" s="1984"/>
      <c r="W33" s="1985"/>
    </row>
    <row r="34" spans="1:23" ht="24.95" customHeight="1" thickBot="1">
      <c r="A34" s="235"/>
      <c r="C34" s="176"/>
      <c r="D34" s="296"/>
      <c r="E34" s="296"/>
      <c r="F34" s="294"/>
      <c r="G34" s="296"/>
      <c r="H34" s="1073"/>
      <c r="I34" s="296"/>
      <c r="J34" s="178"/>
      <c r="K34" s="293"/>
      <c r="L34" s="309"/>
      <c r="M34" s="1986"/>
      <c r="N34" s="1987"/>
      <c r="O34" s="1987"/>
      <c r="P34" s="1987"/>
      <c r="Q34" s="1987"/>
      <c r="R34" s="1987"/>
      <c r="S34" s="1987"/>
      <c r="T34" s="1987"/>
      <c r="U34" s="1987"/>
      <c r="V34" s="1987"/>
      <c r="W34" s="1988"/>
    </row>
    <row r="35" spans="1:23" ht="24.95" customHeight="1">
      <c r="A35" s="235"/>
      <c r="B35" s="308"/>
      <c r="C35" s="176"/>
      <c r="D35" s="298"/>
      <c r="E35" s="293"/>
      <c r="F35" s="294"/>
      <c r="G35" s="293"/>
      <c r="H35" s="1073"/>
      <c r="I35" s="296"/>
      <c r="J35" s="178"/>
      <c r="K35" s="293"/>
      <c r="L35" s="309"/>
      <c r="M35" s="1950" t="e">
        <f>#REF!</f>
        <v>#REF!</v>
      </c>
      <c r="N35" s="1951"/>
      <c r="O35" s="1951"/>
      <c r="P35" s="1951"/>
      <c r="Q35" s="1952"/>
      <c r="R35" s="2008" t="s">
        <v>1013</v>
      </c>
      <c r="S35" s="2009"/>
      <c r="T35" s="607"/>
      <c r="U35" s="651" t="s">
        <v>332</v>
      </c>
      <c r="V35" s="215" t="s">
        <v>289</v>
      </c>
      <c r="W35" s="253"/>
    </row>
    <row r="36" spans="1:23" ht="24.95" customHeight="1">
      <c r="A36" s="235"/>
      <c r="B36" s="308"/>
      <c r="C36" s="176"/>
      <c r="D36" s="294"/>
      <c r="E36" s="294"/>
      <c r="F36" s="294"/>
      <c r="G36" s="298"/>
      <c r="H36" s="228"/>
      <c r="I36" s="294"/>
      <c r="J36" s="178"/>
      <c r="K36" s="293"/>
      <c r="L36" s="298"/>
      <c r="M36" s="1950" t="e">
        <f>#REF!</f>
        <v>#REF!</v>
      </c>
      <c r="N36" s="1951"/>
      <c r="O36" s="1951"/>
      <c r="P36" s="1951"/>
      <c r="Q36" s="1952"/>
      <c r="R36" s="1948" t="s">
        <v>413</v>
      </c>
      <c r="S36" s="1949"/>
      <c r="T36" s="231"/>
      <c r="U36" s="651" t="s">
        <v>333</v>
      </c>
      <c r="V36" s="657"/>
      <c r="W36" s="658"/>
    </row>
    <row r="37" spans="1:23" ht="24.95" customHeight="1">
      <c r="A37" s="235"/>
      <c r="B37" s="167"/>
      <c r="C37" s="176"/>
      <c r="D37" s="294"/>
      <c r="E37" s="294"/>
      <c r="F37" s="294"/>
      <c r="G37" s="298"/>
      <c r="H37" s="228"/>
      <c r="I37" s="294"/>
      <c r="J37" s="178"/>
      <c r="K37" s="298"/>
      <c r="L37" s="298"/>
      <c r="M37" s="1995" t="e">
        <f>#REF!</f>
        <v>#REF!</v>
      </c>
      <c r="N37" s="1996"/>
      <c r="O37" s="1996"/>
      <c r="P37" s="1996"/>
      <c r="Q37" s="1955"/>
      <c r="R37" s="1948" t="s">
        <v>1166</v>
      </c>
      <c r="S37" s="1949"/>
      <c r="T37" s="231"/>
      <c r="U37" s="651" t="s">
        <v>1020</v>
      </c>
      <c r="V37" s="1077"/>
      <c r="W37" s="652" t="s">
        <v>334</v>
      </c>
    </row>
    <row r="38" spans="1:23" ht="24.95" customHeight="1">
      <c r="A38" s="235"/>
      <c r="B38" s="674"/>
      <c r="C38" s="176"/>
      <c r="D38" s="294"/>
      <c r="E38" s="294"/>
      <c r="F38" s="294"/>
      <c r="G38" s="298"/>
      <c r="H38" s="228"/>
      <c r="I38" s="294"/>
      <c r="J38" s="178"/>
      <c r="K38" s="298"/>
      <c r="L38" s="298"/>
      <c r="M38" s="1080" t="s">
        <v>335</v>
      </c>
      <c r="N38" s="1081"/>
      <c r="O38" s="1081"/>
      <c r="P38" s="1081"/>
      <c r="Q38" s="1081"/>
      <c r="R38" s="1948" t="s">
        <v>413</v>
      </c>
      <c r="S38" s="1949"/>
      <c r="T38" s="231"/>
      <c r="U38" s="651" t="s">
        <v>491</v>
      </c>
      <c r="V38" s="1081"/>
      <c r="W38" s="1022"/>
    </row>
    <row r="39" spans="1:23" ht="24.95" customHeight="1">
      <c r="A39" s="235"/>
      <c r="C39" s="176"/>
      <c r="D39" s="294"/>
      <c r="E39" s="294"/>
      <c r="F39" s="294"/>
      <c r="G39" s="298"/>
      <c r="H39" s="228"/>
      <c r="I39" s="294"/>
      <c r="J39" s="178"/>
      <c r="K39" s="298"/>
      <c r="L39" s="298"/>
      <c r="M39" s="1950" t="s">
        <v>1168</v>
      </c>
      <c r="N39" s="1951"/>
      <c r="O39" s="1951"/>
      <c r="P39" s="1951"/>
      <c r="Q39" s="1952"/>
      <c r="R39" s="1948" t="s">
        <v>414</v>
      </c>
      <c r="S39" s="1949"/>
      <c r="T39" s="237"/>
      <c r="U39" s="651" t="s">
        <v>276</v>
      </c>
      <c r="V39" s="654" t="s">
        <v>336</v>
      </c>
      <c r="W39" s="1022"/>
    </row>
    <row r="40" spans="1:23" ht="24.95" customHeight="1">
      <c r="A40" s="235"/>
      <c r="B40" s="297"/>
      <c r="C40" s="176"/>
      <c r="D40" s="298"/>
      <c r="E40" s="293"/>
      <c r="F40" s="294"/>
      <c r="G40" s="293"/>
      <c r="H40" s="228"/>
      <c r="I40" s="294"/>
      <c r="J40" s="178"/>
      <c r="K40" s="310"/>
      <c r="L40" s="1075"/>
      <c r="M40" s="1082"/>
      <c r="N40" s="1083"/>
      <c r="O40" s="1083"/>
      <c r="P40" s="1083"/>
      <c r="Q40" s="1084"/>
      <c r="R40" s="1948" t="s">
        <v>290</v>
      </c>
      <c r="S40" s="1949"/>
      <c r="T40" s="238"/>
      <c r="U40" s="651" t="s">
        <v>337</v>
      </c>
      <c r="V40" s="661"/>
      <c r="W40" s="253"/>
    </row>
    <row r="41" spans="1:23" ht="24.95" customHeight="1" thickBot="1">
      <c r="A41" s="240"/>
      <c r="B41" s="311"/>
      <c r="C41" s="312"/>
      <c r="D41" s="313"/>
      <c r="E41" s="314"/>
      <c r="F41" s="312"/>
      <c r="G41" s="314"/>
      <c r="H41" s="315"/>
      <c r="I41" s="312"/>
      <c r="J41" s="190"/>
      <c r="K41" s="241"/>
      <c r="L41" s="190"/>
      <c r="M41" s="1962" t="e">
        <f>#REF!</f>
        <v>#REF!</v>
      </c>
      <c r="N41" s="1980"/>
      <c r="O41" s="1964" t="s">
        <v>1171</v>
      </c>
      <c r="P41" s="1965"/>
      <c r="Q41" s="1966"/>
      <c r="R41" s="1964" t="e">
        <f>#REF!</f>
        <v>#REF!</v>
      </c>
      <c r="S41" s="1966"/>
      <c r="T41" s="1970" t="e">
        <f>#REF!</f>
        <v>#REF!</v>
      </c>
      <c r="U41" s="1971"/>
      <c r="V41" s="662"/>
      <c r="W41" s="653" t="s">
        <v>338</v>
      </c>
    </row>
    <row r="42" spans="1:23" ht="24.9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23" ht="24.9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23" ht="24.9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23" ht="24.9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23" ht="24.9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23" ht="24.9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23" ht="24.9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1:23" ht="24.9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:23" ht="24.9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3" ht="24.9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3" ht="24.9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3" ht="24.9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 ht="24.9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 ht="24.9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ht="24.9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23" ht="24.9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ht="24.9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23" ht="24.9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3" ht="24.9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3" ht="24.9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3" ht="24.9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3" ht="24.9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3" ht="24.9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ht="24.9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24.9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24.9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ht="24.9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ht="24.9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24.9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ht="24.9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24.9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24.9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24.9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24.9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ht="24.9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ht="24.9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ht="24.9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24.9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24.9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23" ht="24.9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23" ht="24.9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23" ht="24.9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</sheetData>
  <mergeCells count="23">
    <mergeCell ref="J10:K10"/>
    <mergeCell ref="A1:W2"/>
    <mergeCell ref="A3:W4"/>
    <mergeCell ref="J8:K8"/>
    <mergeCell ref="A5:W6"/>
    <mergeCell ref="H11:I11"/>
    <mergeCell ref="Q13:Q14"/>
    <mergeCell ref="R27:T27"/>
    <mergeCell ref="M33:W34"/>
    <mergeCell ref="M35:Q35"/>
    <mergeCell ref="R35:S35"/>
    <mergeCell ref="M41:N41"/>
    <mergeCell ref="O41:Q41"/>
    <mergeCell ref="R41:S41"/>
    <mergeCell ref="T41:U41"/>
    <mergeCell ref="M36:Q36"/>
    <mergeCell ref="R36:S36"/>
    <mergeCell ref="M37:Q37"/>
    <mergeCell ref="R37:S37"/>
    <mergeCell ref="R39:S39"/>
    <mergeCell ref="R40:S40"/>
    <mergeCell ref="M39:Q39"/>
    <mergeCell ref="R38:S38"/>
  </mergeCells>
  <printOptions horizontalCentered="1" verticalCentered="1"/>
  <pageMargins left="0.19685039370078741" right="0.19685039370078741" top="0.59055118110236227" bottom="0.19685039370078741" header="0.31496062992125984" footer="0.11811023622047245"/>
  <pageSetup paperSize="8" scale="75" orientation="landscape" horizontalDpi="4294967293" verticalDpi="4294967293" r:id="rId1"/>
  <rowBreaks count="1" manualBreakCount="1">
    <brk id="41" max="22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1"/>
  <sheetViews>
    <sheetView workbookViewId="0">
      <selection activeCell="C10" sqref="C10"/>
    </sheetView>
  </sheetViews>
  <sheetFormatPr defaultColWidth="9.140625" defaultRowHeight="24"/>
  <cols>
    <col min="1" max="1" width="16.85546875" style="1178" customWidth="1"/>
    <col min="2" max="2" width="13.140625" style="1178" customWidth="1"/>
    <col min="3" max="3" width="9.140625" style="1178"/>
    <col min="4" max="4" width="3.42578125" style="1178" customWidth="1"/>
    <col min="5" max="5" width="77.140625" style="1178" customWidth="1"/>
    <col min="6" max="6" width="13.7109375" style="1178" customWidth="1"/>
    <col min="7" max="16384" width="9.140625" style="1178"/>
  </cols>
  <sheetData>
    <row r="1" spans="1:5">
      <c r="A1" s="1177" t="s">
        <v>21</v>
      </c>
      <c r="B1" s="1177" t="s">
        <v>277</v>
      </c>
      <c r="C1" s="1177" t="s">
        <v>22</v>
      </c>
    </row>
    <row r="2" spans="1:5">
      <c r="A2" s="1150" t="s">
        <v>1114</v>
      </c>
      <c r="B2" s="1181">
        <f>'1.ข้อมูล'!V103</f>
        <v>2167.63</v>
      </c>
      <c r="C2" s="1179">
        <v>436</v>
      </c>
      <c r="E2" s="1178" t="s">
        <v>1115</v>
      </c>
    </row>
    <row r="3" spans="1:5">
      <c r="A3" s="1150" t="s">
        <v>1035</v>
      </c>
      <c r="B3" s="1181">
        <f>'1.ข้อมูล'!V102</f>
        <v>2863.53</v>
      </c>
      <c r="C3" s="1179">
        <v>398</v>
      </c>
      <c r="E3" s="1178" t="s">
        <v>1116</v>
      </c>
    </row>
    <row r="4" spans="1:5">
      <c r="A4" s="1150" t="s">
        <v>1093</v>
      </c>
      <c r="B4" s="1181">
        <f>'1.ข้อมูล'!V99</f>
        <v>728.89</v>
      </c>
      <c r="C4" s="1179">
        <v>91</v>
      </c>
    </row>
    <row r="5" spans="1:5">
      <c r="A5" s="1150" t="s">
        <v>899</v>
      </c>
      <c r="B5" s="1179">
        <v>59.19</v>
      </c>
      <c r="C5" s="1179"/>
    </row>
    <row r="6" spans="1:5">
      <c r="A6" s="1150" t="s">
        <v>898</v>
      </c>
      <c r="B6" s="1179"/>
      <c r="C6" s="1179"/>
    </row>
    <row r="7" spans="1:5">
      <c r="A7" s="1150" t="s">
        <v>1094</v>
      </c>
      <c r="B7" s="1179">
        <v>22622.62</v>
      </c>
      <c r="C7" s="1179">
        <v>4100</v>
      </c>
      <c r="E7" s="1178" t="s">
        <v>1191</v>
      </c>
    </row>
    <row r="8" spans="1:5">
      <c r="A8" s="1150" t="s">
        <v>1095</v>
      </c>
      <c r="B8" s="1179">
        <v>23128.09</v>
      </c>
      <c r="C8" s="1181">
        <f>C7</f>
        <v>4100</v>
      </c>
      <c r="E8" s="1178" t="s">
        <v>1191</v>
      </c>
    </row>
    <row r="9" spans="1:5">
      <c r="A9" s="1150" t="s">
        <v>1096</v>
      </c>
      <c r="B9" s="1179">
        <v>23769.21</v>
      </c>
      <c r="C9" s="1179">
        <v>3300</v>
      </c>
      <c r="E9" s="1178" t="s">
        <v>1192</v>
      </c>
    </row>
    <row r="10" spans="1:5">
      <c r="A10" s="1150" t="s">
        <v>1097</v>
      </c>
      <c r="B10" s="1179">
        <v>484.12</v>
      </c>
      <c r="C10" s="1179"/>
    </row>
    <row r="11" spans="1:5">
      <c r="A11" s="1150" t="s">
        <v>1098</v>
      </c>
      <c r="B11" s="1179"/>
      <c r="C11" s="1179">
        <v>154</v>
      </c>
    </row>
    <row r="12" spans="1:5">
      <c r="A12" s="1150" t="s">
        <v>1099</v>
      </c>
      <c r="B12" s="1179">
        <v>635.51</v>
      </c>
      <c r="C12" s="1179"/>
    </row>
    <row r="13" spans="1:5">
      <c r="A13" s="1150" t="s">
        <v>1101</v>
      </c>
      <c r="B13" s="1179">
        <v>635.51</v>
      </c>
      <c r="C13" s="1179"/>
    </row>
    <row r="14" spans="1:5">
      <c r="A14" s="1150" t="s">
        <v>1102</v>
      </c>
      <c r="B14" s="1179">
        <v>36.450000000000003</v>
      </c>
      <c r="C14" s="1179"/>
    </row>
    <row r="15" spans="1:5">
      <c r="A15" s="1150" t="s">
        <v>1103</v>
      </c>
      <c r="B15" s="1179"/>
      <c r="C15" s="1179"/>
    </row>
    <row r="16" spans="1:5">
      <c r="A16" s="1143" t="s">
        <v>1105</v>
      </c>
      <c r="B16" s="1180"/>
      <c r="C16" s="1180"/>
    </row>
    <row r="17" spans="1:3">
      <c r="A17" s="1150" t="s">
        <v>897</v>
      </c>
      <c r="B17" s="1181">
        <f>B2</f>
        <v>2167.63</v>
      </c>
      <c r="C17" s="1181">
        <f>C2</f>
        <v>436</v>
      </c>
    </row>
    <row r="18" spans="1:3">
      <c r="A18" s="1150" t="s">
        <v>899</v>
      </c>
      <c r="B18" s="1181">
        <f>B5</f>
        <v>59.19</v>
      </c>
      <c r="C18" s="1181">
        <f>C5</f>
        <v>0</v>
      </c>
    </row>
    <row r="19" spans="1:3">
      <c r="A19" s="1150" t="s">
        <v>1060</v>
      </c>
      <c r="B19" s="1181"/>
      <c r="C19" s="1181"/>
    </row>
    <row r="20" spans="1:3">
      <c r="A20" s="1150" t="s">
        <v>1094</v>
      </c>
      <c r="B20" s="1181">
        <f>B7</f>
        <v>22622.62</v>
      </c>
      <c r="C20" s="1181">
        <f>C7</f>
        <v>4100</v>
      </c>
    </row>
    <row r="21" spans="1:3">
      <c r="A21" s="1150" t="s">
        <v>1095</v>
      </c>
      <c r="B21" s="1181">
        <f>B8</f>
        <v>23128.09</v>
      </c>
      <c r="C21" s="1181">
        <f>C8</f>
        <v>4100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59"/>
  <sheetViews>
    <sheetView showGridLines="0" view="pageBreakPreview" topLeftCell="A20" zoomScale="85" zoomScaleNormal="85" zoomScaleSheetLayoutView="85" workbookViewId="0">
      <selection activeCell="F24" sqref="F24"/>
    </sheetView>
  </sheetViews>
  <sheetFormatPr defaultColWidth="9.140625" defaultRowHeight="21"/>
  <cols>
    <col min="1" max="1" width="9.140625" style="1107"/>
    <col min="2" max="2" width="9.140625" style="1108"/>
    <col min="3" max="3" width="13" style="1107" customWidth="1"/>
    <col min="4" max="4" width="14.85546875" style="1107" customWidth="1"/>
    <col min="5" max="5" width="19" style="1107" customWidth="1"/>
    <col min="6" max="6" width="18.7109375" style="1107" customWidth="1"/>
    <col min="7" max="7" width="11.7109375" style="1107" customWidth="1"/>
    <col min="8" max="8" width="9.140625" style="1107"/>
    <col min="9" max="9" width="12" style="1107" customWidth="1"/>
    <col min="10" max="10" width="8" style="1107" customWidth="1"/>
    <col min="11" max="11" width="12.28515625" style="1107" customWidth="1"/>
    <col min="12" max="12" width="15" style="1107" customWidth="1"/>
    <col min="13" max="13" width="14.7109375" style="1107" customWidth="1"/>
    <col min="14" max="14" width="15.28515625" style="1107" customWidth="1"/>
    <col min="15" max="15" width="15.140625" style="1108" customWidth="1"/>
    <col min="16" max="16384" width="9.140625" style="1108"/>
  </cols>
  <sheetData>
    <row r="1" spans="1:14" hidden="1">
      <c r="A1" s="1107">
        <v>1</v>
      </c>
      <c r="B1" s="1107">
        <f t="shared" ref="B1:N1" si="0">+A1+1</f>
        <v>2</v>
      </c>
      <c r="C1" s="1107">
        <f t="shared" si="0"/>
        <v>3</v>
      </c>
      <c r="D1" s="1107">
        <f t="shared" si="0"/>
        <v>4</v>
      </c>
      <c r="E1" s="1107">
        <f t="shared" si="0"/>
        <v>5</v>
      </c>
      <c r="F1" s="1107">
        <f t="shared" si="0"/>
        <v>6</v>
      </c>
      <c r="G1" s="1107">
        <f t="shared" si="0"/>
        <v>7</v>
      </c>
      <c r="H1" s="1107">
        <f t="shared" si="0"/>
        <v>8</v>
      </c>
      <c r="I1" s="1107">
        <f t="shared" si="0"/>
        <v>9</v>
      </c>
      <c r="J1" s="1107">
        <f t="shared" si="0"/>
        <v>10</v>
      </c>
      <c r="K1" s="1107">
        <f t="shared" si="0"/>
        <v>11</v>
      </c>
      <c r="L1" s="1107">
        <f t="shared" si="0"/>
        <v>12</v>
      </c>
      <c r="M1" s="1107">
        <f t="shared" si="0"/>
        <v>13</v>
      </c>
      <c r="N1" s="1107">
        <f t="shared" si="0"/>
        <v>14</v>
      </c>
    </row>
    <row r="2" spans="1:14" hidden="1">
      <c r="B2" s="2116" t="s">
        <v>1056</v>
      </c>
      <c r="C2" s="1109" t="s">
        <v>1057</v>
      </c>
      <c r="D2" s="1109" t="s">
        <v>1058</v>
      </c>
      <c r="E2" s="1109" t="s">
        <v>757</v>
      </c>
      <c r="F2" s="1109" t="s">
        <v>1059</v>
      </c>
      <c r="G2" s="2119" t="s">
        <v>1060</v>
      </c>
      <c r="H2" s="2119"/>
      <c r="I2" s="2119"/>
      <c r="J2" s="2119"/>
      <c r="K2" s="2119"/>
      <c r="L2" s="2119"/>
      <c r="M2" s="2119"/>
      <c r="N2" s="2119"/>
    </row>
    <row r="3" spans="1:14" hidden="1">
      <c r="B3" s="2117"/>
      <c r="C3" s="1110" t="s">
        <v>1061</v>
      </c>
      <c r="D3" s="1110" t="s">
        <v>687</v>
      </c>
      <c r="E3" s="1110" t="s">
        <v>1062</v>
      </c>
      <c r="F3" s="1110" t="s">
        <v>1063</v>
      </c>
      <c r="G3" s="2119" t="s">
        <v>1064</v>
      </c>
      <c r="H3" s="2119"/>
      <c r="I3" s="2119" t="s">
        <v>1037</v>
      </c>
      <c r="J3" s="2119"/>
      <c r="K3" s="2119" t="s">
        <v>1065</v>
      </c>
      <c r="L3" s="2119"/>
      <c r="M3" s="2119" t="s">
        <v>709</v>
      </c>
      <c r="N3" s="2119"/>
    </row>
    <row r="4" spans="1:14" hidden="1">
      <c r="B4" s="2118"/>
      <c r="C4" s="1111" t="s">
        <v>182</v>
      </c>
      <c r="D4" s="1111" t="s">
        <v>182</v>
      </c>
      <c r="E4" s="1111" t="s">
        <v>182</v>
      </c>
      <c r="F4" s="1111" t="s">
        <v>182</v>
      </c>
      <c r="G4" s="1112" t="s">
        <v>1066</v>
      </c>
      <c r="H4" s="1112" t="s">
        <v>1067</v>
      </c>
      <c r="I4" s="1112" t="s">
        <v>1066</v>
      </c>
      <c r="J4" s="1112" t="s">
        <v>1067</v>
      </c>
      <c r="K4" s="1112" t="s">
        <v>1066</v>
      </c>
      <c r="L4" s="1112" t="s">
        <v>1067</v>
      </c>
      <c r="M4" s="1112" t="s">
        <v>1066</v>
      </c>
      <c r="N4" s="1112" t="s">
        <v>1067</v>
      </c>
    </row>
    <row r="5" spans="1:14" hidden="1">
      <c r="A5" s="1107">
        <v>1</v>
      </c>
      <c r="B5" s="1112" t="s">
        <v>1068</v>
      </c>
      <c r="C5" s="1112">
        <v>30</v>
      </c>
      <c r="D5" s="1112">
        <v>30</v>
      </c>
      <c r="E5" s="1112">
        <v>10</v>
      </c>
      <c r="F5" s="1112">
        <v>10</v>
      </c>
      <c r="G5" s="1112">
        <v>9</v>
      </c>
      <c r="H5" s="1112">
        <v>20</v>
      </c>
      <c r="I5" s="1112">
        <v>9</v>
      </c>
      <c r="J5" s="1112">
        <v>20</v>
      </c>
      <c r="K5" s="1112">
        <v>9</v>
      </c>
      <c r="L5" s="1112">
        <v>15</v>
      </c>
      <c r="M5" s="1112">
        <v>9</v>
      </c>
      <c r="N5" s="1112">
        <v>15</v>
      </c>
    </row>
    <row r="6" spans="1:14" hidden="1">
      <c r="A6" s="1107">
        <f t="shared" ref="A6:A12" si="1">+A5+1</f>
        <v>2</v>
      </c>
      <c r="B6" s="1112" t="s">
        <v>1069</v>
      </c>
      <c r="C6" s="1112">
        <v>30</v>
      </c>
      <c r="D6" s="1112">
        <v>50</v>
      </c>
      <c r="E6" s="1112">
        <v>10</v>
      </c>
      <c r="F6" s="1112">
        <v>10</v>
      </c>
      <c r="G6" s="1112">
        <v>9</v>
      </c>
      <c r="H6" s="1112">
        <v>15</v>
      </c>
      <c r="I6" s="1112">
        <v>9</v>
      </c>
      <c r="J6" s="1112">
        <v>15</v>
      </c>
      <c r="K6" s="1112">
        <v>9</v>
      </c>
      <c r="L6" s="1112">
        <v>15</v>
      </c>
      <c r="M6" s="1112">
        <v>9</v>
      </c>
      <c r="N6" s="1112">
        <v>15</v>
      </c>
    </row>
    <row r="7" spans="1:14" hidden="1">
      <c r="A7" s="1107">
        <f t="shared" si="1"/>
        <v>3</v>
      </c>
      <c r="B7" s="1112" t="s">
        <v>1070</v>
      </c>
      <c r="C7" s="1112">
        <v>30</v>
      </c>
      <c r="D7" s="1112">
        <v>70</v>
      </c>
      <c r="E7" s="1112">
        <v>12</v>
      </c>
      <c r="F7" s="1112">
        <v>10</v>
      </c>
      <c r="G7" s="1112">
        <v>9</v>
      </c>
      <c r="H7" s="1112">
        <v>10</v>
      </c>
      <c r="I7" s="1112">
        <v>9</v>
      </c>
      <c r="J7" s="1112">
        <v>10</v>
      </c>
      <c r="K7" s="1112">
        <v>9</v>
      </c>
      <c r="L7" s="1112">
        <v>15</v>
      </c>
      <c r="M7" s="1112">
        <v>9</v>
      </c>
      <c r="N7" s="1112">
        <v>15</v>
      </c>
    </row>
    <row r="8" spans="1:14" hidden="1">
      <c r="A8" s="1107">
        <f t="shared" si="1"/>
        <v>4</v>
      </c>
      <c r="B8" s="1112" t="s">
        <v>1071</v>
      </c>
      <c r="C8" s="1112">
        <v>30</v>
      </c>
      <c r="D8" s="1112">
        <v>100</v>
      </c>
      <c r="E8" s="1112">
        <v>15</v>
      </c>
      <c r="F8" s="1112">
        <v>10</v>
      </c>
      <c r="G8" s="1112">
        <v>12</v>
      </c>
      <c r="H8" s="1112">
        <v>10</v>
      </c>
      <c r="I8" s="1112">
        <v>12</v>
      </c>
      <c r="J8" s="1112">
        <v>10</v>
      </c>
      <c r="K8" s="1112">
        <v>9</v>
      </c>
      <c r="L8" s="1112">
        <v>15</v>
      </c>
      <c r="M8" s="1112">
        <v>9</v>
      </c>
      <c r="N8" s="1112">
        <v>15</v>
      </c>
    </row>
    <row r="9" spans="1:14" hidden="1">
      <c r="A9" s="1107">
        <f t="shared" si="1"/>
        <v>5</v>
      </c>
      <c r="B9" s="1112" t="s">
        <v>1072</v>
      </c>
      <c r="C9" s="1112">
        <v>50</v>
      </c>
      <c r="D9" s="1112">
        <v>30</v>
      </c>
      <c r="E9" s="1112">
        <v>10</v>
      </c>
      <c r="F9" s="1112">
        <v>15</v>
      </c>
      <c r="G9" s="1112">
        <v>9</v>
      </c>
      <c r="H9" s="1112">
        <v>20</v>
      </c>
      <c r="I9" s="1112">
        <v>9</v>
      </c>
      <c r="J9" s="1112">
        <v>20</v>
      </c>
      <c r="K9" s="1112">
        <v>9</v>
      </c>
      <c r="L9" s="1112">
        <v>10</v>
      </c>
      <c r="M9" s="1112">
        <v>9</v>
      </c>
      <c r="N9" s="1112">
        <v>10</v>
      </c>
    </row>
    <row r="10" spans="1:14" hidden="1">
      <c r="A10" s="1107">
        <f t="shared" si="1"/>
        <v>6</v>
      </c>
      <c r="B10" s="1112" t="s">
        <v>1073</v>
      </c>
      <c r="C10" s="1112">
        <v>50</v>
      </c>
      <c r="D10" s="1112">
        <v>50</v>
      </c>
      <c r="E10" s="1112">
        <v>10</v>
      </c>
      <c r="F10" s="1112">
        <v>15</v>
      </c>
      <c r="G10" s="1112">
        <v>9</v>
      </c>
      <c r="H10" s="1112">
        <v>15</v>
      </c>
      <c r="I10" s="1112">
        <v>9</v>
      </c>
      <c r="J10" s="1112">
        <v>15</v>
      </c>
      <c r="K10" s="1112">
        <v>9</v>
      </c>
      <c r="L10" s="1112">
        <v>10</v>
      </c>
      <c r="M10" s="1112">
        <v>9</v>
      </c>
      <c r="N10" s="1112">
        <v>10</v>
      </c>
    </row>
    <row r="11" spans="1:14" hidden="1">
      <c r="A11" s="1107">
        <f t="shared" si="1"/>
        <v>7</v>
      </c>
      <c r="B11" s="1112" t="s">
        <v>1074</v>
      </c>
      <c r="C11" s="1112">
        <v>50</v>
      </c>
      <c r="D11" s="1112">
        <v>70</v>
      </c>
      <c r="E11" s="1112">
        <v>12</v>
      </c>
      <c r="F11" s="1112">
        <v>15</v>
      </c>
      <c r="G11" s="1112">
        <v>9</v>
      </c>
      <c r="H11" s="1112">
        <v>15</v>
      </c>
      <c r="I11" s="1112">
        <v>9</v>
      </c>
      <c r="J11" s="1112">
        <v>15</v>
      </c>
      <c r="K11" s="1112">
        <v>9</v>
      </c>
      <c r="L11" s="1112">
        <v>10</v>
      </c>
      <c r="M11" s="1112">
        <v>9</v>
      </c>
      <c r="N11" s="1112">
        <v>10</v>
      </c>
    </row>
    <row r="12" spans="1:14" hidden="1">
      <c r="A12" s="1107">
        <f t="shared" si="1"/>
        <v>8</v>
      </c>
      <c r="B12" s="1112" t="s">
        <v>1075</v>
      </c>
      <c r="C12" s="1112">
        <v>50</v>
      </c>
      <c r="D12" s="1112">
        <v>100</v>
      </c>
      <c r="E12" s="1112">
        <v>15</v>
      </c>
      <c r="F12" s="1112">
        <v>15</v>
      </c>
      <c r="G12" s="1112">
        <v>12</v>
      </c>
      <c r="H12" s="1112">
        <v>10</v>
      </c>
      <c r="I12" s="1112">
        <v>12</v>
      </c>
      <c r="J12" s="1112">
        <v>10</v>
      </c>
      <c r="K12" s="1112">
        <v>9</v>
      </c>
      <c r="L12" s="1112">
        <v>10</v>
      </c>
      <c r="M12" s="1112">
        <v>9</v>
      </c>
      <c r="N12" s="1112">
        <v>10</v>
      </c>
    </row>
    <row r="13" spans="1:14" hidden="1"/>
    <row r="14" spans="1:14" hidden="1">
      <c r="B14" s="1108" t="s">
        <v>1076</v>
      </c>
    </row>
    <row r="15" spans="1:14" hidden="1">
      <c r="C15" s="1112" t="s">
        <v>1077</v>
      </c>
      <c r="D15" s="1113" t="s">
        <v>1078</v>
      </c>
      <c r="E15" s="1114"/>
    </row>
    <row r="16" spans="1:14" hidden="1">
      <c r="C16" s="1112">
        <v>10</v>
      </c>
      <c r="D16" s="1115">
        <v>6</v>
      </c>
      <c r="E16" s="1116">
        <v>20</v>
      </c>
    </row>
    <row r="17" spans="1:16" hidden="1">
      <c r="C17" s="1112">
        <v>12</v>
      </c>
      <c r="D17" s="1115">
        <v>6</v>
      </c>
      <c r="E17" s="1116">
        <v>20</v>
      </c>
    </row>
    <row r="18" spans="1:16" hidden="1">
      <c r="C18" s="1112">
        <v>15</v>
      </c>
      <c r="D18" s="1115">
        <v>6</v>
      </c>
      <c r="E18" s="1116">
        <v>15</v>
      </c>
    </row>
    <row r="19" spans="1:16" hidden="1"/>
    <row r="20" spans="1:16" ht="29.25" customHeight="1">
      <c r="B20" s="2114" t="s">
        <v>1079</v>
      </c>
      <c r="C20" s="2114"/>
      <c r="D20" s="2114"/>
      <c r="E20" s="2114"/>
      <c r="F20" s="2114"/>
      <c r="G20" s="2114"/>
      <c r="H20" s="2114"/>
      <c r="I20" s="2114"/>
      <c r="J20" s="2114"/>
      <c r="K20" s="2114"/>
      <c r="L20" s="2114"/>
      <c r="M20" s="2114"/>
      <c r="N20" s="2114"/>
    </row>
    <row r="22" spans="1:16" ht="24">
      <c r="A22" s="1117"/>
      <c r="B22" s="1118"/>
      <c r="C22" s="1117"/>
      <c r="D22" s="1117">
        <v>2</v>
      </c>
      <c r="E22" s="1117"/>
      <c r="F22" s="1119" t="s">
        <v>1080</v>
      </c>
      <c r="G22" s="2115" t="s">
        <v>1081</v>
      </c>
      <c r="H22" s="2115"/>
      <c r="I22" s="1117"/>
      <c r="J22" s="1117"/>
      <c r="K22" s="1117"/>
      <c r="L22" s="1117"/>
      <c r="M22" s="1117"/>
      <c r="N22" s="1117"/>
      <c r="O22" s="1118"/>
    </row>
    <row r="23" spans="1:16" ht="24">
      <c r="A23" s="1117"/>
      <c r="B23" s="1118"/>
      <c r="C23" s="1120" t="str">
        <f>+"ตามแบบมาตรฐาน เลขที่  รน- 301/56  แบบ "&amp;+VLOOKUP($D$22,$A$1:$N$12,2)</f>
        <v>ตามแบบมาตรฐาน เลขที่  รน- 301/56  แบบ ข-30</v>
      </c>
      <c r="D23" s="1121"/>
      <c r="E23" s="1121"/>
      <c r="F23" s="1122">
        <v>500</v>
      </c>
      <c r="G23" s="1123">
        <v>1</v>
      </c>
      <c r="H23" s="1124">
        <v>10000</v>
      </c>
      <c r="I23" s="1117"/>
      <c r="J23" s="1117"/>
      <c r="K23" s="1117"/>
      <c r="L23" s="1117"/>
      <c r="M23" s="1117"/>
      <c r="N23" s="1117"/>
      <c r="O23" s="1118"/>
    </row>
    <row r="24" spans="1:16" ht="24">
      <c r="A24" s="1117"/>
      <c r="B24" s="1118"/>
      <c r="C24" s="1125" t="s">
        <v>1061</v>
      </c>
      <c r="D24" s="1125" t="s">
        <v>687</v>
      </c>
      <c r="E24" s="1125" t="s">
        <v>1062</v>
      </c>
      <c r="F24" s="1125" t="s">
        <v>1063</v>
      </c>
      <c r="G24" s="2115" t="s">
        <v>1064</v>
      </c>
      <c r="H24" s="2115"/>
      <c r="I24" s="2115" t="s">
        <v>1037</v>
      </c>
      <c r="J24" s="2115"/>
      <c r="K24" s="2115" t="s">
        <v>1065</v>
      </c>
      <c r="L24" s="2115"/>
      <c r="M24" s="2115" t="s">
        <v>709</v>
      </c>
      <c r="N24" s="2115"/>
      <c r="O24" s="1118"/>
    </row>
    <row r="25" spans="1:16" ht="24">
      <c r="A25" s="1117"/>
      <c r="B25" s="1118"/>
      <c r="C25" s="1126" t="s">
        <v>195</v>
      </c>
      <c r="D25" s="1126" t="s">
        <v>195</v>
      </c>
      <c r="E25" s="1126" t="s">
        <v>195</v>
      </c>
      <c r="F25" s="1126" t="s">
        <v>195</v>
      </c>
      <c r="G25" s="1119" t="s">
        <v>1082</v>
      </c>
      <c r="H25" s="1119" t="s">
        <v>1083</v>
      </c>
      <c r="I25" s="1119" t="s">
        <v>1082</v>
      </c>
      <c r="J25" s="1119" t="s">
        <v>1083</v>
      </c>
      <c r="K25" s="1119" t="s">
        <v>1082</v>
      </c>
      <c r="L25" s="1119" t="s">
        <v>1083</v>
      </c>
      <c r="M25" s="1119" t="s">
        <v>1082</v>
      </c>
      <c r="N25" s="1119" t="s">
        <v>1083</v>
      </c>
      <c r="O25" s="1118"/>
    </row>
    <row r="26" spans="1:16" ht="24">
      <c r="A26" s="1117"/>
      <c r="B26" s="1118"/>
      <c r="C26" s="1127">
        <f>+VLOOKUP($D$22,$A$1:$N$12,3)/100</f>
        <v>0.3</v>
      </c>
      <c r="D26" s="1127">
        <f>+VLOOKUP($D$22,$A$1:$N$12,4)/100</f>
        <v>0.5</v>
      </c>
      <c r="E26" s="1127">
        <f>+VLOOKUP($D$22,$A$1:$N$12,5)/100</f>
        <v>0.1</v>
      </c>
      <c r="F26" s="1127">
        <f>+VLOOKUP($D$22,$A$1:$N$12,6)/100</f>
        <v>0.1</v>
      </c>
      <c r="G26" s="1119">
        <f>+VLOOKUP($D$22,$A$1:$N$12,7)</f>
        <v>9</v>
      </c>
      <c r="H26" s="1127">
        <f>+VLOOKUP($D$22,$A$1:$N$12,8)/100</f>
        <v>0.15</v>
      </c>
      <c r="I26" s="1119">
        <f>+VLOOKUP($D$22,$A$1:$N$12,9)</f>
        <v>9</v>
      </c>
      <c r="J26" s="1127">
        <f>+VLOOKUP($D$22,$A$1:$N$12,10)/100</f>
        <v>0.15</v>
      </c>
      <c r="K26" s="1119">
        <f>+VLOOKUP($D$22,$A$1:$N$12,11)</f>
        <v>9</v>
      </c>
      <c r="L26" s="1127">
        <f>+VLOOKUP($D$22,$A$1:$N$12,12)/100</f>
        <v>0.15</v>
      </c>
      <c r="M26" s="1119">
        <f>+VLOOKUP($D$22,$A$1:$N$12,13)</f>
        <v>9</v>
      </c>
      <c r="N26" s="1127">
        <f>+VLOOKUP($D$22,$A$1:$N$12,14)/100</f>
        <v>0.15</v>
      </c>
      <c r="O26" s="1118"/>
    </row>
    <row r="27" spans="1:16" ht="24">
      <c r="A27" s="1117"/>
      <c r="B27" s="1118" t="s">
        <v>1076</v>
      </c>
      <c r="C27" s="1117"/>
      <c r="D27" s="1117"/>
      <c r="E27" s="1117"/>
      <c r="F27" s="1117"/>
      <c r="G27" s="1117"/>
      <c r="H27" s="1117"/>
      <c r="I27" s="1117"/>
      <c r="J27" s="1117"/>
      <c r="K27" s="1117"/>
      <c r="L27" s="1117"/>
      <c r="M27" s="1117"/>
      <c r="N27" s="1117"/>
      <c r="O27" s="1118"/>
    </row>
    <row r="28" spans="1:16" ht="24">
      <c r="A28" s="1117"/>
      <c r="B28" s="1128"/>
      <c r="C28" s="1129" t="s">
        <v>1077</v>
      </c>
      <c r="D28" s="1130" t="s">
        <v>1078</v>
      </c>
      <c r="E28" s="1131"/>
      <c r="F28" s="1132" t="s">
        <v>1084</v>
      </c>
      <c r="G28" s="1132" t="s">
        <v>1085</v>
      </c>
      <c r="H28" s="1132" t="s">
        <v>1086</v>
      </c>
      <c r="I28" s="1133"/>
      <c r="J28" s="1133"/>
      <c r="K28" s="1117"/>
      <c r="L28" s="1117"/>
      <c r="M28" s="1117"/>
      <c r="N28" s="1117"/>
      <c r="O28" s="1117"/>
      <c r="P28" s="1107"/>
    </row>
    <row r="29" spans="1:16" ht="24">
      <c r="A29" s="1117"/>
      <c r="B29" s="1118"/>
      <c r="C29" s="1134">
        <f>+E26</f>
        <v>0.1</v>
      </c>
      <c r="D29" s="1135">
        <f>+IF($C$29=0.1,D16,IF($C$29=0.12,D17,IF($C$29=0.15,D18,0)))</f>
        <v>6</v>
      </c>
      <c r="E29" s="1136">
        <f>+IF($C$29=0.1,E16,IF($C$29=0.12,E17,IF($C$29=0.15,E18,0)))/100</f>
        <v>0.2</v>
      </c>
      <c r="F29" s="1127">
        <f>+D26</f>
        <v>0.5</v>
      </c>
      <c r="G29" s="1137">
        <f>+F29+F23/H23</f>
        <v>0.55000000000000004</v>
      </c>
      <c r="H29" s="1138">
        <f>+(F23*G23/H23+D26+D26)/2</f>
        <v>0.52500000000000002</v>
      </c>
      <c r="I29" s="1139"/>
      <c r="J29" s="1140"/>
      <c r="K29" s="1141" t="s">
        <v>1087</v>
      </c>
      <c r="L29" s="1141"/>
      <c r="M29" s="1141"/>
      <c r="N29" s="1142" t="s">
        <v>828</v>
      </c>
      <c r="P29" s="1107"/>
    </row>
    <row r="30" spans="1:16" ht="24">
      <c r="A30" s="1117"/>
      <c r="B30" s="1143" t="s">
        <v>1088</v>
      </c>
      <c r="C30" s="2112" t="s">
        <v>1089</v>
      </c>
      <c r="D30" s="2112"/>
      <c r="E30" s="2112"/>
      <c r="F30" s="2112"/>
      <c r="G30" s="1144" t="s">
        <v>23</v>
      </c>
      <c r="H30" s="1145" t="s">
        <v>18</v>
      </c>
      <c r="I30" s="1145" t="s">
        <v>23</v>
      </c>
      <c r="J30" s="1145" t="s">
        <v>18</v>
      </c>
      <c r="K30" s="1146" t="s">
        <v>1090</v>
      </c>
      <c r="L30" s="1147" t="s">
        <v>22</v>
      </c>
      <c r="M30" s="1145" t="s">
        <v>23</v>
      </c>
      <c r="N30" s="1148" t="s">
        <v>1091</v>
      </c>
      <c r="P30" s="1149"/>
    </row>
    <row r="31" spans="1:16" ht="24">
      <c r="A31" s="1117"/>
      <c r="B31" s="1150" t="s">
        <v>897</v>
      </c>
      <c r="C31" s="1137">
        <f>+(C26+E26*2)*E26*F23</f>
        <v>25</v>
      </c>
      <c r="D31" s="1137">
        <f>+H29*2*E26*F23</f>
        <v>52.500000000000007</v>
      </c>
      <c r="E31" s="1119"/>
      <c r="F31" s="1137">
        <f>+F26*(E26-0.05)*2*F23</f>
        <v>5.0000000000000009</v>
      </c>
      <c r="G31" s="1151">
        <f>SUM(C31:F31)</f>
        <v>82.5</v>
      </c>
      <c r="H31" s="1119" t="s">
        <v>27</v>
      </c>
      <c r="I31" s="1137">
        <f>+G31</f>
        <v>82.5</v>
      </c>
      <c r="J31" s="1119" t="s">
        <v>27</v>
      </c>
      <c r="K31" s="1152">
        <f>ราคาวัสดุ!B2</f>
        <v>2167.63</v>
      </c>
      <c r="L31" s="1152">
        <f>ราคาวัสดุ!C2</f>
        <v>436</v>
      </c>
      <c r="M31" s="1153">
        <f t="shared" ref="M31:M51" si="2">K31+L31</f>
        <v>2603.63</v>
      </c>
      <c r="N31" s="1154">
        <f>M31*I31</f>
        <v>214799.47500000001</v>
      </c>
      <c r="P31" s="1107"/>
    </row>
    <row r="32" spans="1:16" ht="24">
      <c r="A32" s="1117"/>
      <c r="B32" s="1150" t="s">
        <v>1092</v>
      </c>
      <c r="C32" s="1137">
        <f>+($C$26+$E$26*2+0.15*2)*0.1*$F$23</f>
        <v>40.000000000000007</v>
      </c>
      <c r="D32" s="1137"/>
      <c r="E32" s="1119"/>
      <c r="F32" s="1137"/>
      <c r="G32" s="1151">
        <f>SUM(C32:F32)</f>
        <v>40.000000000000007</v>
      </c>
      <c r="H32" s="1119" t="s">
        <v>27</v>
      </c>
      <c r="I32" s="1137">
        <f>+G32</f>
        <v>40.000000000000007</v>
      </c>
      <c r="J32" s="1119" t="s">
        <v>27</v>
      </c>
      <c r="K32" s="1152">
        <f>ราคาวัสดุ!B3</f>
        <v>2863.53</v>
      </c>
      <c r="L32" s="1152">
        <f>ราคาวัสดุ!C3</f>
        <v>398</v>
      </c>
      <c r="M32" s="1153">
        <f t="shared" si="2"/>
        <v>3261.53</v>
      </c>
      <c r="N32" s="1154">
        <f>M32*I32</f>
        <v>130461.20000000003</v>
      </c>
      <c r="P32" s="1107"/>
    </row>
    <row r="33" spans="1:16" ht="24">
      <c r="A33" s="1117"/>
      <c r="B33" s="1150" t="s">
        <v>1093</v>
      </c>
      <c r="C33" s="1137">
        <f>+($C$26+$E$26*2+0.15*2)*0.05*$F$23</f>
        <v>20.000000000000004</v>
      </c>
      <c r="D33" s="1137"/>
      <c r="E33" s="1119"/>
      <c r="F33" s="1137"/>
      <c r="G33" s="1151">
        <f>SUM(C33:F33)</f>
        <v>20.000000000000004</v>
      </c>
      <c r="H33" s="1119" t="s">
        <v>27</v>
      </c>
      <c r="I33" s="1137">
        <f>+G33</f>
        <v>20.000000000000004</v>
      </c>
      <c r="J33" s="1119" t="s">
        <v>27</v>
      </c>
      <c r="K33" s="1152">
        <f>ราคาวัสดุ!B4</f>
        <v>728.89</v>
      </c>
      <c r="L33" s="1152">
        <f>ราคาวัสดุ!C4*0+21.67</f>
        <v>21.67</v>
      </c>
      <c r="M33" s="1153">
        <f t="shared" si="2"/>
        <v>750.56</v>
      </c>
      <c r="N33" s="1154">
        <f>M33*I33</f>
        <v>15011.2</v>
      </c>
      <c r="P33" s="1107"/>
    </row>
    <row r="34" spans="1:16" ht="24">
      <c r="A34" s="1117"/>
      <c r="B34" s="1150" t="s">
        <v>899</v>
      </c>
      <c r="C34" s="1137"/>
      <c r="D34" s="1137"/>
      <c r="E34" s="1119"/>
      <c r="F34" s="1137"/>
      <c r="G34" s="1151"/>
      <c r="H34" s="1119"/>
      <c r="I34" s="1137">
        <f>+I35*0.02</f>
        <v>140.86666666666667</v>
      </c>
      <c r="J34" s="1119" t="s">
        <v>900</v>
      </c>
      <c r="K34" s="1152">
        <f>ราคาวัสดุ!B5</f>
        <v>59.19</v>
      </c>
      <c r="L34" s="1152">
        <f>ราคาวัสดุ!C5</f>
        <v>0</v>
      </c>
      <c r="M34" s="1153">
        <f t="shared" si="2"/>
        <v>59.19</v>
      </c>
      <c r="N34" s="1154">
        <f>M34*I34</f>
        <v>8337.8979999999992</v>
      </c>
      <c r="P34" s="1107"/>
    </row>
    <row r="35" spans="1:16" ht="24">
      <c r="A35" s="1117"/>
      <c r="B35" s="1150" t="s">
        <v>1060</v>
      </c>
      <c r="C35" s="1119"/>
      <c r="D35" s="1119"/>
      <c r="E35" s="1119"/>
      <c r="F35" s="1119"/>
      <c r="G35" s="1151"/>
      <c r="H35" s="1119"/>
      <c r="I35" s="1137">
        <f>SUM(I36:I38)</f>
        <v>7043.3333333333339</v>
      </c>
      <c r="J35" s="1119" t="s">
        <v>900</v>
      </c>
      <c r="K35" s="1152">
        <f>ราคาวัสดุ!B6</f>
        <v>0</v>
      </c>
      <c r="L35" s="1152">
        <f>ราคาวัสดุ!C6</f>
        <v>0</v>
      </c>
      <c r="M35" s="1153">
        <f t="shared" si="2"/>
        <v>0</v>
      </c>
      <c r="N35" s="1154">
        <f>M35*I35</f>
        <v>0</v>
      </c>
      <c r="P35" s="1107"/>
    </row>
    <row r="36" spans="1:16" ht="24">
      <c r="A36" s="1117"/>
      <c r="B36" s="1150" t="s">
        <v>1094</v>
      </c>
      <c r="C36" s="1138">
        <f>+(C26+E26*2)*F23/E29*2</f>
        <v>2500</v>
      </c>
      <c r="D36" s="1138">
        <f>+D26*F23/E29*2*2+2*F23</f>
        <v>6000</v>
      </c>
      <c r="E36" s="1119"/>
      <c r="F36" s="1119"/>
      <c r="G36" s="1151">
        <f>SUM(C36:F36)</f>
        <v>8500</v>
      </c>
      <c r="H36" s="1119" t="s">
        <v>195</v>
      </c>
      <c r="I36" s="1137">
        <f>+G36*0.222</f>
        <v>1887</v>
      </c>
      <c r="J36" s="1119" t="s">
        <v>900</v>
      </c>
      <c r="K36" s="1152">
        <f>ราคาวัสดุ!B7</f>
        <v>22622.62</v>
      </c>
      <c r="L36" s="1152">
        <f>ราคาวัสดุ!C7</f>
        <v>4100</v>
      </c>
      <c r="M36" s="1153">
        <f t="shared" si="2"/>
        <v>26722.62</v>
      </c>
      <c r="N36" s="1154">
        <f>M36*(I36/1000)</f>
        <v>50425.583939999997</v>
      </c>
      <c r="P36" s="1155"/>
    </row>
    <row r="37" spans="1:16" ht="24">
      <c r="A37" s="1117"/>
      <c r="B37" s="1150" t="s">
        <v>1095</v>
      </c>
      <c r="C37" s="1137">
        <f>+IF($G$26=9,(($H$29+$E$26)*2+$C$26)*$F$23/$H$26,0)</f>
        <v>5166.666666666667</v>
      </c>
      <c r="D37" s="1137">
        <f>+IF($I$26=9,(($H$29+$E$26-$F$26)*2)*$F$23/$J$26,0)</f>
        <v>3500</v>
      </c>
      <c r="E37" s="1137">
        <f>+IF($M$26=9,($E$26*2+$C$26)*$F$23/$N$26,0)</f>
        <v>1666.6666666666667</v>
      </c>
      <c r="F37" s="1119"/>
      <c r="G37" s="1151">
        <f>SUM(C37:F37)</f>
        <v>10333.333333333334</v>
      </c>
      <c r="H37" s="1119" t="s">
        <v>195</v>
      </c>
      <c r="I37" s="1137">
        <f>+G37*0.499</f>
        <v>5156.3333333333339</v>
      </c>
      <c r="J37" s="1119" t="s">
        <v>900</v>
      </c>
      <c r="K37" s="1152">
        <f>ราคาวัสดุ!B8</f>
        <v>23128.09</v>
      </c>
      <c r="L37" s="1152">
        <f>ราคาวัสดุ!C8</f>
        <v>4100</v>
      </c>
      <c r="M37" s="1153">
        <f t="shared" si="2"/>
        <v>27228.09</v>
      </c>
      <c r="N37" s="1154">
        <f>M37*(I37/1000)</f>
        <v>140397.10807000002</v>
      </c>
      <c r="P37" s="1107"/>
    </row>
    <row r="38" spans="1:16" ht="24">
      <c r="A38" s="1117"/>
      <c r="B38" s="1150" t="s">
        <v>1096</v>
      </c>
      <c r="C38" s="1137">
        <f>+IF($G$26=12,(($H$29+$E$26)*2+$C$26)*$F$23/$H$26,0)</f>
        <v>0</v>
      </c>
      <c r="D38" s="1137">
        <f>+IF($I$26=12,(($H$29+$E$26-$F$26)*2)*$F$23/$J$26,0)</f>
        <v>0</v>
      </c>
      <c r="E38" s="1137">
        <f>+IF($M$26=12,($E$26*2+$C$26)*$F$23/$N$26,0)</f>
        <v>0</v>
      </c>
      <c r="F38" s="1119"/>
      <c r="G38" s="1151">
        <f>SUM(C38:F38)</f>
        <v>0</v>
      </c>
      <c r="H38" s="1119" t="s">
        <v>195</v>
      </c>
      <c r="I38" s="1137">
        <f>+G38</f>
        <v>0</v>
      </c>
      <c r="J38" s="1119" t="s">
        <v>900</v>
      </c>
      <c r="K38" s="1152">
        <f>ราคาวัสดุ!B9</f>
        <v>23769.21</v>
      </c>
      <c r="L38" s="1152">
        <f>ราคาวัสดุ!C9</f>
        <v>3300</v>
      </c>
      <c r="M38" s="1153">
        <f t="shared" si="2"/>
        <v>27069.21</v>
      </c>
      <c r="N38" s="1154">
        <f>M38*(I38/1000)</f>
        <v>0</v>
      </c>
      <c r="P38" s="1107"/>
    </row>
    <row r="39" spans="1:16" ht="24">
      <c r="A39" s="1117"/>
      <c r="B39" s="1150" t="s">
        <v>1097</v>
      </c>
      <c r="C39" s="1138">
        <f>+F23*2*2</f>
        <v>2000</v>
      </c>
      <c r="D39" s="1119"/>
      <c r="E39" s="1119"/>
      <c r="F39" s="1119"/>
      <c r="G39" s="1151">
        <f>SUM(C39:F39)</f>
        <v>2000</v>
      </c>
      <c r="H39" s="1119" t="s">
        <v>195</v>
      </c>
      <c r="I39" s="1137">
        <f>+G39</f>
        <v>2000</v>
      </c>
      <c r="J39" s="1119" t="s">
        <v>195</v>
      </c>
      <c r="K39" s="1152">
        <f>ราคาวัสดุ!B10</f>
        <v>484.12</v>
      </c>
      <c r="L39" s="1152">
        <f>ราคาวัสดุ!C10</f>
        <v>0</v>
      </c>
      <c r="M39" s="1153">
        <f t="shared" si="2"/>
        <v>484.12</v>
      </c>
      <c r="N39" s="1154">
        <f t="shared" ref="N39:N49" si="3">M39*I39</f>
        <v>968240</v>
      </c>
      <c r="P39" s="1107"/>
    </row>
    <row r="40" spans="1:16" ht="24">
      <c r="A40" s="1117"/>
      <c r="B40" s="1150" t="s">
        <v>1098</v>
      </c>
      <c r="C40" s="1137">
        <f>+(H29*2+D26*2)*F23</f>
        <v>1025</v>
      </c>
      <c r="D40" s="1119"/>
      <c r="E40" s="1119"/>
      <c r="F40" s="1119"/>
      <c r="G40" s="1151">
        <f>SUM(C40:F40)-0.0155</f>
        <v>1024.9845</v>
      </c>
      <c r="H40" s="1119" t="s">
        <v>26</v>
      </c>
      <c r="I40" s="1137">
        <f>+G40</f>
        <v>1024.9845</v>
      </c>
      <c r="J40" s="1119" t="s">
        <v>26</v>
      </c>
      <c r="K40" s="1152">
        <f>ราคาวัสดุ!B11</f>
        <v>0</v>
      </c>
      <c r="L40" s="1152">
        <f>ราคาวัสดุ!C11</f>
        <v>154</v>
      </c>
      <c r="M40" s="1153">
        <f t="shared" si="2"/>
        <v>154</v>
      </c>
      <c r="N40" s="1154">
        <f t="shared" si="3"/>
        <v>157847.61300000001</v>
      </c>
      <c r="P40" s="1107"/>
    </row>
    <row r="41" spans="1:16" ht="24">
      <c r="A41" s="1117"/>
      <c r="B41" s="1150" t="s">
        <v>1099</v>
      </c>
      <c r="C41" s="1137">
        <f>C40*0.5</f>
        <v>512.5</v>
      </c>
      <c r="D41" s="1119"/>
      <c r="E41" s="1119"/>
      <c r="F41" s="1119"/>
      <c r="G41" s="1156">
        <f>C41</f>
        <v>512.5</v>
      </c>
      <c r="H41" s="1119" t="s">
        <v>1100</v>
      </c>
      <c r="I41" s="1137">
        <f>G41</f>
        <v>512.5</v>
      </c>
      <c r="J41" s="1119" t="s">
        <v>1100</v>
      </c>
      <c r="K41" s="1152">
        <f>ราคาวัสดุ!B12</f>
        <v>635.51</v>
      </c>
      <c r="L41" s="1152">
        <f>ราคาวัสดุ!C12</f>
        <v>0</v>
      </c>
      <c r="M41" s="1153">
        <f t="shared" si="2"/>
        <v>635.51</v>
      </c>
      <c r="N41" s="1154">
        <f t="shared" si="3"/>
        <v>325698.875</v>
      </c>
      <c r="P41" s="1107"/>
    </row>
    <row r="42" spans="1:16" ht="24">
      <c r="A42" s="1117"/>
      <c r="B42" s="1150" t="s">
        <v>1101</v>
      </c>
      <c r="C42" s="1157">
        <f>C40*0.3</f>
        <v>307.5</v>
      </c>
      <c r="D42" s="1126"/>
      <c r="E42" s="1126"/>
      <c r="F42" s="1126"/>
      <c r="G42" s="1156">
        <f>C42</f>
        <v>307.5</v>
      </c>
      <c r="H42" s="1119" t="s">
        <v>1100</v>
      </c>
      <c r="I42" s="1137">
        <f>G42</f>
        <v>307.5</v>
      </c>
      <c r="J42" s="1119" t="s">
        <v>1100</v>
      </c>
      <c r="K42" s="1152">
        <f>ราคาวัสดุ!B13</f>
        <v>635.51</v>
      </c>
      <c r="L42" s="1152">
        <f>ราคาวัสดุ!C13</f>
        <v>0</v>
      </c>
      <c r="M42" s="1153">
        <f t="shared" si="2"/>
        <v>635.51</v>
      </c>
      <c r="N42" s="1154">
        <f t="shared" si="3"/>
        <v>195419.32500000001</v>
      </c>
      <c r="P42" s="1107"/>
    </row>
    <row r="43" spans="1:16" ht="24">
      <c r="A43" s="1117"/>
      <c r="B43" s="1150" t="s">
        <v>1102</v>
      </c>
      <c r="C43" s="1157">
        <f>C40*0.25</f>
        <v>256.25</v>
      </c>
      <c r="D43" s="1126"/>
      <c r="E43" s="1126"/>
      <c r="F43" s="1126"/>
      <c r="G43" s="1156">
        <f>C43</f>
        <v>256.25</v>
      </c>
      <c r="H43" s="1126" t="s">
        <v>900</v>
      </c>
      <c r="I43" s="1137">
        <f>G43</f>
        <v>256.25</v>
      </c>
      <c r="J43" s="1126" t="s">
        <v>900</v>
      </c>
      <c r="K43" s="1152">
        <f>ราคาวัสดุ!B14</f>
        <v>36.450000000000003</v>
      </c>
      <c r="L43" s="1152">
        <f>ราคาวัสดุ!C14</f>
        <v>0</v>
      </c>
      <c r="M43" s="1153">
        <f t="shared" si="2"/>
        <v>36.450000000000003</v>
      </c>
      <c r="N43" s="1154">
        <f t="shared" si="3"/>
        <v>9340.3125</v>
      </c>
      <c r="P43" s="1107"/>
    </row>
    <row r="44" spans="1:16" ht="24">
      <c r="A44" s="1117"/>
      <c r="B44" s="1150" t="s">
        <v>1103</v>
      </c>
      <c r="C44" s="1157">
        <f>C40/15</f>
        <v>68.333333333333329</v>
      </c>
      <c r="D44" s="1126"/>
      <c r="E44" s="1126"/>
      <c r="F44" s="1126"/>
      <c r="G44" s="1156">
        <f>C44</f>
        <v>68.333333333333329</v>
      </c>
      <c r="H44" s="1126" t="s">
        <v>1104</v>
      </c>
      <c r="I44" s="1137">
        <f>G44</f>
        <v>68.333333333333329</v>
      </c>
      <c r="J44" s="1119" t="s">
        <v>1104</v>
      </c>
      <c r="K44" s="1158">
        <v>10</v>
      </c>
      <c r="L44" s="1152">
        <f>ราคาวัสดุ!C15</f>
        <v>0</v>
      </c>
      <c r="M44" s="1153">
        <f t="shared" si="2"/>
        <v>10</v>
      </c>
      <c r="N44" s="1154">
        <f t="shared" si="3"/>
        <v>683.33333333333326</v>
      </c>
      <c r="P44" s="1107"/>
    </row>
    <row r="45" spans="1:16" ht="24">
      <c r="A45" s="1117"/>
      <c r="B45" s="1143" t="s">
        <v>1105</v>
      </c>
      <c r="C45" s="1126"/>
      <c r="D45" s="1126"/>
      <c r="E45" s="1126"/>
      <c r="F45" s="1126"/>
      <c r="G45" s="1117"/>
      <c r="H45" s="1126"/>
      <c r="I45" s="1157">
        <f>+G45</f>
        <v>0</v>
      </c>
      <c r="J45" s="1117"/>
      <c r="K45" s="1158"/>
      <c r="L45" s="1158"/>
      <c r="M45" s="1153">
        <f t="shared" si="2"/>
        <v>0</v>
      </c>
      <c r="N45" s="1154">
        <f t="shared" si="3"/>
        <v>0</v>
      </c>
      <c r="P45" s="1107"/>
    </row>
    <row r="46" spans="1:16" ht="24">
      <c r="A46" s="1117"/>
      <c r="B46" s="1150" t="s">
        <v>1106</v>
      </c>
      <c r="C46" s="1119"/>
      <c r="D46" s="1119"/>
      <c r="E46" s="1159" t="s">
        <v>23</v>
      </c>
      <c r="F46" s="1119" t="s">
        <v>1107</v>
      </c>
      <c r="G46" s="1160">
        <f>+ROUNDUP(F23/0.4,0)</f>
        <v>1250</v>
      </c>
      <c r="H46" s="1119" t="s">
        <v>1108</v>
      </c>
      <c r="I46" s="1137"/>
      <c r="J46" s="1119"/>
      <c r="K46" s="1152"/>
      <c r="L46" s="1161"/>
      <c r="M46" s="1153">
        <f t="shared" si="2"/>
        <v>0</v>
      </c>
      <c r="N46" s="1154">
        <f t="shared" si="3"/>
        <v>0</v>
      </c>
      <c r="P46" s="1107"/>
    </row>
    <row r="47" spans="1:16" ht="24">
      <c r="A47" s="1117"/>
      <c r="B47" s="1150" t="s">
        <v>897</v>
      </c>
      <c r="C47" s="1119">
        <f>(0.4*(C26+0.05*2)-((C26+0.05*2-0.05*2+C26+0.1*2-0.05*2)*0.03)*0.5*2)*F26</f>
        <v>1.3900000000000004E-2</v>
      </c>
      <c r="D47" s="1119"/>
      <c r="E47" s="1119">
        <f>SUM(C47:D47)</f>
        <v>1.3900000000000004E-2</v>
      </c>
      <c r="F47" s="1119"/>
      <c r="G47" s="1160">
        <f>+G46*E47</f>
        <v>17.375000000000007</v>
      </c>
      <c r="H47" s="1119" t="s">
        <v>27</v>
      </c>
      <c r="I47" s="1137">
        <f>+G47</f>
        <v>17.375000000000007</v>
      </c>
      <c r="J47" s="1119" t="s">
        <v>27</v>
      </c>
      <c r="K47" s="1152">
        <f>ราคาวัสดุ!B17</f>
        <v>2167.63</v>
      </c>
      <c r="L47" s="1152">
        <f>IF(I47=0,0,L31)</f>
        <v>436</v>
      </c>
      <c r="M47" s="1153">
        <f t="shared" si="2"/>
        <v>2603.63</v>
      </c>
      <c r="N47" s="1154">
        <f t="shared" si="3"/>
        <v>45238.071250000023</v>
      </c>
      <c r="P47" s="1107"/>
    </row>
    <row r="48" spans="1:16" ht="24">
      <c r="A48" s="1117"/>
      <c r="B48" s="1150" t="s">
        <v>899</v>
      </c>
      <c r="C48" s="1137"/>
      <c r="D48" s="1137"/>
      <c r="E48" s="1119"/>
      <c r="F48" s="1137"/>
      <c r="G48" s="1151"/>
      <c r="H48" s="1119"/>
      <c r="I48" s="1137">
        <f>+I49*0.02</f>
        <v>25.252376799999997</v>
      </c>
      <c r="J48" s="1119" t="s">
        <v>900</v>
      </c>
      <c r="K48" s="1152">
        <f>ราคาวัสดุ!B18</f>
        <v>59.19</v>
      </c>
      <c r="L48" s="1152">
        <f>[6]ราคาวัสดุ!C18</f>
        <v>0</v>
      </c>
      <c r="M48" s="1153">
        <f t="shared" si="2"/>
        <v>59.19</v>
      </c>
      <c r="N48" s="1154">
        <f t="shared" si="3"/>
        <v>1494.6881827919997</v>
      </c>
      <c r="P48" s="1107"/>
    </row>
    <row r="49" spans="1:16" ht="24">
      <c r="A49" s="1117"/>
      <c r="B49" s="1150" t="s">
        <v>898</v>
      </c>
      <c r="C49" s="1119"/>
      <c r="D49" s="1119"/>
      <c r="E49" s="1119"/>
      <c r="F49" s="1119"/>
      <c r="G49" s="1160"/>
      <c r="H49" s="1119"/>
      <c r="I49" s="1137">
        <f>SUM(I50:I51)</f>
        <v>1262.6188399999999</v>
      </c>
      <c r="J49" s="1119" t="s">
        <v>900</v>
      </c>
      <c r="K49" s="1152">
        <f>ราคาวัสดุ!B19</f>
        <v>0</v>
      </c>
      <c r="L49" s="1152"/>
      <c r="M49" s="1153">
        <f t="shared" si="2"/>
        <v>0</v>
      </c>
      <c r="N49" s="1154">
        <f t="shared" si="3"/>
        <v>0</v>
      </c>
      <c r="P49" s="1107"/>
    </row>
    <row r="50" spans="1:16" ht="24">
      <c r="A50" s="1117"/>
      <c r="B50" s="1150" t="s">
        <v>1094</v>
      </c>
      <c r="C50" s="1138">
        <f>+((0.34+0.3*2)*2)*2</f>
        <v>3.76</v>
      </c>
      <c r="D50" s="1138">
        <f>(0.34*(ROUNDUP((C26+0.05*2)/E29,0)-1))*2</f>
        <v>0.68</v>
      </c>
      <c r="E50" s="1119">
        <f>SUM(C50:D50)</f>
        <v>4.4399999999999995</v>
      </c>
      <c r="F50" s="1119"/>
      <c r="G50" s="1160">
        <f>+G46*E50</f>
        <v>5549.9999999999991</v>
      </c>
      <c r="H50" s="1119" t="s">
        <v>195</v>
      </c>
      <c r="I50" s="1137">
        <f>+G50*0.222</f>
        <v>1232.0999999999999</v>
      </c>
      <c r="J50" s="1119" t="s">
        <v>900</v>
      </c>
      <c r="K50" s="1152">
        <f>ราคาวัสดุ!B20</f>
        <v>22622.62</v>
      </c>
      <c r="L50" s="1152">
        <f>ราคาวัสดุ!C20</f>
        <v>4100</v>
      </c>
      <c r="M50" s="1153">
        <f t="shared" si="2"/>
        <v>26722.62</v>
      </c>
      <c r="N50" s="1154">
        <f>M50*(I50/1000)</f>
        <v>32924.940102</v>
      </c>
      <c r="P50" s="1107"/>
    </row>
    <row r="51" spans="1:16" ht="24">
      <c r="A51" s="1117"/>
      <c r="B51" s="1150" t="s">
        <v>1095</v>
      </c>
      <c r="C51" s="1162">
        <f>(4*(C26+E26*2-0.03*2))*2</f>
        <v>3.52</v>
      </c>
      <c r="D51" s="1119"/>
      <c r="E51" s="1119">
        <f>SUM(C51:D51)</f>
        <v>3.52</v>
      </c>
      <c r="F51" s="1119"/>
      <c r="G51" s="1160">
        <f>+G47*E51</f>
        <v>61.160000000000025</v>
      </c>
      <c r="H51" s="1119" t="s">
        <v>195</v>
      </c>
      <c r="I51" s="1137">
        <f>+G51*0.499</f>
        <v>30.518840000000012</v>
      </c>
      <c r="J51" s="1119" t="s">
        <v>900</v>
      </c>
      <c r="K51" s="1152">
        <f>ราคาวัสดุ!B21</f>
        <v>23128.09</v>
      </c>
      <c r="L51" s="1152">
        <f>ราคาวัสดุ!C21</f>
        <v>4100</v>
      </c>
      <c r="M51" s="1153">
        <f t="shared" si="2"/>
        <v>27228.09</v>
      </c>
      <c r="N51" s="1154">
        <f>M51*(I51/1000)</f>
        <v>830.96972221560031</v>
      </c>
      <c r="P51" s="1107"/>
    </row>
    <row r="52" spans="1:16" ht="24">
      <c r="A52" s="1117"/>
      <c r="B52" s="1118"/>
      <c r="C52" s="1117"/>
      <c r="D52" s="1117"/>
      <c r="E52" s="1117"/>
      <c r="F52" s="1117"/>
      <c r="G52" s="1117"/>
      <c r="H52" s="1117"/>
      <c r="I52" s="1117"/>
      <c r="J52" s="1117"/>
      <c r="K52" s="1117"/>
      <c r="L52" s="1163"/>
      <c r="M52" s="1163" t="s">
        <v>23</v>
      </c>
      <c r="N52" s="1164">
        <f>SUM(N31:N51)</f>
        <v>2297150.593100341</v>
      </c>
    </row>
    <row r="53" spans="1:16" ht="24">
      <c r="A53" s="1117"/>
      <c r="B53" s="1118"/>
      <c r="C53" s="1117"/>
      <c r="D53" s="1117"/>
      <c r="E53" s="1117"/>
      <c r="F53" s="1165"/>
      <c r="G53" s="1117"/>
      <c r="H53" s="1117"/>
      <c r="I53" s="1117"/>
      <c r="J53" s="1117"/>
      <c r="K53" s="1117"/>
      <c r="L53" s="1166" t="s">
        <v>1109</v>
      </c>
      <c r="M53" s="1108"/>
      <c r="N53" s="1164">
        <f>+N52/F23</f>
        <v>4594.3011862006824</v>
      </c>
    </row>
    <row r="54" spans="1:16" ht="24">
      <c r="A54" s="1117"/>
      <c r="B54" s="1118"/>
      <c r="C54" s="1117"/>
      <c r="D54" s="1117"/>
      <c r="E54" s="1117"/>
      <c r="F54" s="1165"/>
      <c r="G54" s="1117"/>
      <c r="H54" s="1117"/>
      <c r="I54" s="1117"/>
      <c r="J54" s="1117"/>
      <c r="K54" s="1117"/>
      <c r="L54" s="1167" t="s">
        <v>1110</v>
      </c>
      <c r="M54" s="1108"/>
      <c r="N54" s="1168">
        <f>N53</f>
        <v>4594.3011862006824</v>
      </c>
    </row>
    <row r="55" spans="1:16">
      <c r="E55" s="1169"/>
      <c r="F55" s="1170"/>
      <c r="G55" s="1171"/>
    </row>
    <row r="57" spans="1:16" ht="24">
      <c r="H57" s="1172" t="s">
        <v>1111</v>
      </c>
      <c r="I57" s="1173" t="s">
        <v>1112</v>
      </c>
      <c r="K57" s="1174"/>
      <c r="L57" s="1175" t="s">
        <v>275</v>
      </c>
      <c r="M57" s="1174"/>
    </row>
    <row r="58" spans="1:16" ht="24">
      <c r="I58" s="1175" t="s">
        <v>1113</v>
      </c>
      <c r="K58" s="1175"/>
      <c r="L58" s="1176"/>
      <c r="M58" s="1176"/>
    </row>
    <row r="59" spans="1:16" ht="24">
      <c r="I59" s="2113" t="s">
        <v>971</v>
      </c>
      <c r="J59" s="2113"/>
      <c r="K59" s="2113"/>
      <c r="L59" s="1176"/>
      <c r="M59" s="1176"/>
    </row>
  </sheetData>
  <mergeCells count="14">
    <mergeCell ref="B2:B4"/>
    <mergeCell ref="G2:N2"/>
    <mergeCell ref="G3:H3"/>
    <mergeCell ref="I3:J3"/>
    <mergeCell ref="K3:L3"/>
    <mergeCell ref="M3:N3"/>
    <mergeCell ref="C30:F30"/>
    <mergeCell ref="I59:K59"/>
    <mergeCell ref="B20:N20"/>
    <mergeCell ref="G22:H22"/>
    <mergeCell ref="G24:H24"/>
    <mergeCell ref="I24:J24"/>
    <mergeCell ref="K24:L24"/>
    <mergeCell ref="M24:N24"/>
  </mergeCells>
  <printOptions horizontalCentered="1"/>
  <pageMargins left="0.19685039370078741" right="0.19685039370078741" top="0.59055118110236227" bottom="0.39370078740157483" header="0.31496062992125984" footer="0.31496062992125984"/>
  <pageSetup paperSize="9" scale="60" orientation="landscape" blackAndWhite="1" horizontalDpi="4294967293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3</xdr:col>
                    <xdr:colOff>152400</xdr:colOff>
                    <xdr:row>21</xdr:row>
                    <xdr:rowOff>28575</xdr:rowOff>
                  </from>
                  <to>
                    <xdr:col>4</xdr:col>
                    <xdr:colOff>476250</xdr:colOff>
                    <xdr:row>21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36"/>
  <sheetViews>
    <sheetView showGridLines="0" view="pageBreakPreview" zoomScaleNormal="85" zoomScaleSheetLayoutView="100" workbookViewId="0">
      <selection activeCell="F7" sqref="F7"/>
    </sheetView>
  </sheetViews>
  <sheetFormatPr defaultColWidth="9.140625" defaultRowHeight="24"/>
  <cols>
    <col min="1" max="1" width="7.7109375" style="1175" customWidth="1"/>
    <col min="2" max="2" width="37.7109375" style="1175" customWidth="1"/>
    <col min="3" max="3" width="11" style="1175" customWidth="1"/>
    <col min="4" max="4" width="10.140625" style="1175" customWidth="1"/>
    <col min="5" max="5" width="13.28515625" style="1175" customWidth="1"/>
    <col min="6" max="6" width="11.140625" style="1175" customWidth="1"/>
    <col min="7" max="7" width="12.7109375" style="1175" customWidth="1"/>
    <col min="8" max="8" width="13.140625" style="1175" customWidth="1"/>
    <col min="9" max="16384" width="9.140625" style="1175"/>
  </cols>
  <sheetData>
    <row r="1" spans="1:8" s="1182" customFormat="1" ht="20.100000000000001" customHeight="1">
      <c r="A1" s="2121" t="s">
        <v>1117</v>
      </c>
      <c r="B1" s="2121"/>
      <c r="C1" s="2121"/>
      <c r="D1" s="2121"/>
      <c r="E1" s="2121"/>
      <c r="F1" s="2121"/>
      <c r="G1" s="2121"/>
      <c r="H1" s="2121"/>
    </row>
    <row r="2" spans="1:8" s="1182" customFormat="1" ht="20.100000000000001" customHeight="1">
      <c r="A2" s="1183" t="s">
        <v>1118</v>
      </c>
      <c r="B2" s="1183" t="s">
        <v>1054</v>
      </c>
      <c r="C2" s="1184" t="str">
        <f>[7]ปร.5!F6</f>
        <v xml:space="preserve">ชื่อสายทาง   </v>
      </c>
      <c r="D2" s="1184" t="s">
        <v>1055</v>
      </c>
      <c r="E2" s="1184"/>
      <c r="F2" s="1184"/>
      <c r="G2" s="1184"/>
      <c r="H2" s="1184"/>
    </row>
    <row r="3" spans="1:8" s="1182" customFormat="1" ht="20.100000000000001" customHeight="1">
      <c r="A3" s="1185" t="s">
        <v>1119</v>
      </c>
      <c r="B3" s="1186" t="s">
        <v>1158</v>
      </c>
      <c r="D3" s="1187" t="s">
        <v>1120</v>
      </c>
      <c r="E3" s="1183" t="s">
        <v>1121</v>
      </c>
      <c r="G3" s="1188"/>
      <c r="H3" s="1188"/>
    </row>
    <row r="4" spans="1:8" ht="20.100000000000001" customHeight="1">
      <c r="A4" s="1189"/>
      <c r="B4" s="1189"/>
      <c r="C4" s="1189"/>
      <c r="D4" s="1189"/>
      <c r="E4" s="1189"/>
      <c r="F4" s="1189"/>
      <c r="G4" s="1189"/>
      <c r="H4" s="1189"/>
    </row>
    <row r="5" spans="1:8" s="1176" customFormat="1" ht="20.100000000000001" customHeight="1">
      <c r="A5" s="2122" t="s">
        <v>1122</v>
      </c>
      <c r="B5" s="2122" t="s">
        <v>1</v>
      </c>
      <c r="C5" s="2124" t="s">
        <v>17</v>
      </c>
      <c r="D5" s="2124" t="s">
        <v>18</v>
      </c>
      <c r="E5" s="2126" t="s">
        <v>1123</v>
      </c>
      <c r="F5" s="2127"/>
      <c r="G5" s="2124" t="s">
        <v>23</v>
      </c>
      <c r="H5" s="1190" t="s">
        <v>1124</v>
      </c>
    </row>
    <row r="6" spans="1:8" s="1176" customFormat="1" ht="20.100000000000001" customHeight="1">
      <c r="A6" s="2123"/>
      <c r="B6" s="2123"/>
      <c r="C6" s="2125"/>
      <c r="D6" s="2125"/>
      <c r="E6" s="1191" t="s">
        <v>21</v>
      </c>
      <c r="F6" s="1192" t="s">
        <v>22</v>
      </c>
      <c r="G6" s="2125"/>
      <c r="H6" s="1192" t="s">
        <v>22</v>
      </c>
    </row>
    <row r="7" spans="1:8" ht="20.100000000000001" customHeight="1">
      <c r="A7" s="1193">
        <v>1</v>
      </c>
      <c r="B7" s="1194" t="s">
        <v>1125</v>
      </c>
      <c r="C7" s="1195">
        <f>6*0+2</f>
        <v>2</v>
      </c>
      <c r="D7" s="1196" t="s">
        <v>27</v>
      </c>
      <c r="E7" s="1195">
        <f>ROUND(IF(D112&lt;=0,0,0),2)</f>
        <v>0</v>
      </c>
      <c r="F7" s="1195">
        <f>ROUND(IF(C7&lt;=0,0,20.78),2)</f>
        <v>20.78</v>
      </c>
      <c r="G7" s="1195">
        <f>E7+F7</f>
        <v>20.78</v>
      </c>
      <c r="H7" s="1195">
        <f>C7*G7</f>
        <v>41.56</v>
      </c>
    </row>
    <row r="8" spans="1:8" s="1176" customFormat="1" ht="20.100000000000001" customHeight="1">
      <c r="A8" s="1197">
        <v>2</v>
      </c>
      <c r="B8" s="1198" t="s">
        <v>1126</v>
      </c>
      <c r="C8" s="1199">
        <f>2*0+0.25</f>
        <v>0.25</v>
      </c>
      <c r="D8" s="1200" t="s">
        <v>27</v>
      </c>
      <c r="E8" s="1205">
        <f>ROUND(IF(C8&lt;=0,0,'1.ข้อมูล'!V98),2)</f>
        <v>710.2</v>
      </c>
      <c r="F8" s="1201">
        <f>ROUND(IF(C8&lt;=0,0,39.01),2)</f>
        <v>39.01</v>
      </c>
      <c r="G8" s="1202">
        <f>E8+F8</f>
        <v>749.21</v>
      </c>
      <c r="H8" s="1201">
        <f>C8*G8</f>
        <v>187.30250000000001</v>
      </c>
    </row>
    <row r="9" spans="1:8" s="1176" customFormat="1" ht="20.100000000000001" customHeight="1">
      <c r="A9" s="1197">
        <v>3</v>
      </c>
      <c r="B9" s="1198" t="s">
        <v>1127</v>
      </c>
      <c r="C9" s="1199">
        <f>0.43</f>
        <v>0.43</v>
      </c>
      <c r="D9" s="1200" t="s">
        <v>27</v>
      </c>
      <c r="E9" s="1205">
        <f>ROUND(IF(C9&lt;=0,0,'1.ข้อมูล'!V99),2)</f>
        <v>728.89</v>
      </c>
      <c r="F9" s="1201">
        <f>ROUND(IF(C9&lt;=0,0,ราคาวัสดุ!C4),2)</f>
        <v>91</v>
      </c>
      <c r="G9" s="1202">
        <f>E9+F9</f>
        <v>819.89</v>
      </c>
      <c r="H9" s="1201">
        <f>C9*G9</f>
        <v>352.55270000000002</v>
      </c>
    </row>
    <row r="10" spans="1:8" ht="20.100000000000001" customHeight="1">
      <c r="A10" s="1203" t="s">
        <v>405</v>
      </c>
      <c r="B10" s="1204" t="s">
        <v>1035</v>
      </c>
      <c r="C10" s="1205">
        <v>0.22</v>
      </c>
      <c r="D10" s="1200" t="s">
        <v>27</v>
      </c>
      <c r="E10" s="1205">
        <f>ROUND(IF(C10&lt;=0,0,'1.ข้อมูล'!V102),2)</f>
        <v>2863.53</v>
      </c>
      <c r="F10" s="1201">
        <f>ROUND(IF(C10&lt;=0,0,ราคาวัสดุ!C3),2)</f>
        <v>398</v>
      </c>
      <c r="G10" s="1205">
        <f t="shared" ref="G10:G25" si="0">E10+F10</f>
        <v>3261.53</v>
      </c>
      <c r="H10" s="1205">
        <f t="shared" ref="H10:H26" si="1">C10*G10</f>
        <v>717.53660000000002</v>
      </c>
    </row>
    <row r="11" spans="1:8" ht="20.100000000000001" customHeight="1">
      <c r="A11" s="1197">
        <v>5</v>
      </c>
      <c r="B11" s="1204" t="s">
        <v>1128</v>
      </c>
      <c r="C11" s="1205">
        <v>1.1100000000000001</v>
      </c>
      <c r="D11" s="1200" t="s">
        <v>27</v>
      </c>
      <c r="E11" s="1205">
        <f>ROUND(IF(C11&lt;=0,0,'1.ข้อมูล'!V103),2)</f>
        <v>2167.63</v>
      </c>
      <c r="F11" s="1201">
        <f>ROUND(IF(C11&lt;=0,0,ราคาวัสดุ!C2),2)</f>
        <v>436</v>
      </c>
      <c r="G11" s="1205">
        <f t="shared" si="0"/>
        <v>2603.63</v>
      </c>
      <c r="H11" s="1205">
        <f t="shared" si="1"/>
        <v>2890.0293000000001</v>
      </c>
    </row>
    <row r="12" spans="1:8" ht="20.100000000000001" customHeight="1">
      <c r="A12" s="1203" t="s">
        <v>1129</v>
      </c>
      <c r="B12" s="1204" t="s">
        <v>1098</v>
      </c>
      <c r="C12" s="1205">
        <v>11.82</v>
      </c>
      <c r="D12" s="1200" t="s">
        <v>26</v>
      </c>
      <c r="E12" s="1205">
        <f>ROUND(IF(C12&lt;=0,0,0),2)</f>
        <v>0</v>
      </c>
      <c r="F12" s="1201">
        <f>ROUND(IF(C12&lt;=0,0,ราคาวัสดุ!C11),2)</f>
        <v>154</v>
      </c>
      <c r="G12" s="1205">
        <f t="shared" si="0"/>
        <v>154</v>
      </c>
      <c r="H12" s="1205">
        <f t="shared" si="1"/>
        <v>1820.28</v>
      </c>
    </row>
    <row r="13" spans="1:8" ht="20.100000000000001" customHeight="1">
      <c r="A13" s="1203" t="s">
        <v>1130</v>
      </c>
      <c r="B13" s="1204" t="s">
        <v>1131</v>
      </c>
      <c r="C13" s="1205">
        <f>C12/5</f>
        <v>2.3639999999999999</v>
      </c>
      <c r="D13" s="1200" t="s">
        <v>1100</v>
      </c>
      <c r="E13" s="1205">
        <f>ROUND(IF(C13&lt;=0,0,ราคาวัสดุ!B12),2)</f>
        <v>635.51</v>
      </c>
      <c r="F13" s="1205">
        <v>0</v>
      </c>
      <c r="G13" s="1205">
        <f t="shared" si="0"/>
        <v>635.51</v>
      </c>
      <c r="H13" s="1205">
        <f t="shared" si="1"/>
        <v>1502.34564</v>
      </c>
    </row>
    <row r="14" spans="1:8" ht="20.100000000000001" customHeight="1">
      <c r="A14" s="1203" t="s">
        <v>1132</v>
      </c>
      <c r="B14" s="1204" t="s">
        <v>1133</v>
      </c>
      <c r="C14" s="1205">
        <f>C12*0.3</f>
        <v>3.5459999999999998</v>
      </c>
      <c r="D14" s="1200" t="s">
        <v>1100</v>
      </c>
      <c r="E14" s="1205">
        <f>ROUND(IF(C14&lt;=0,0,ราคาวัสดุ!B13),2)</f>
        <v>635.51</v>
      </c>
      <c r="F14" s="1205">
        <v>0</v>
      </c>
      <c r="G14" s="1205">
        <f t="shared" si="0"/>
        <v>635.51</v>
      </c>
      <c r="H14" s="1205">
        <f t="shared" si="1"/>
        <v>2253.5184599999998</v>
      </c>
    </row>
    <row r="15" spans="1:8" ht="20.100000000000001" customHeight="1">
      <c r="A15" s="1203" t="s">
        <v>1134</v>
      </c>
      <c r="B15" s="1204" t="s">
        <v>1102</v>
      </c>
      <c r="C15" s="1205">
        <v>2</v>
      </c>
      <c r="D15" s="1200" t="s">
        <v>900</v>
      </c>
      <c r="E15" s="1205">
        <f>ROUND(IF(C15&lt;=0,0,ราคาวัสดุ!B14),2)</f>
        <v>36.450000000000003</v>
      </c>
      <c r="F15" s="1205">
        <v>0</v>
      </c>
      <c r="G15" s="1205">
        <f t="shared" si="0"/>
        <v>36.450000000000003</v>
      </c>
      <c r="H15" s="1205">
        <f t="shared" si="1"/>
        <v>72.900000000000006</v>
      </c>
    </row>
    <row r="16" spans="1:8" ht="20.100000000000001" customHeight="1">
      <c r="A16" s="1203" t="s">
        <v>1135</v>
      </c>
      <c r="B16" s="1204" t="s">
        <v>1136</v>
      </c>
      <c r="C16" s="1206">
        <v>0</v>
      </c>
      <c r="D16" s="1200" t="s">
        <v>88</v>
      </c>
      <c r="E16" s="1205">
        <f>IF(C16&lt;=0,0,ราคาวัสดุ!B7)</f>
        <v>0</v>
      </c>
      <c r="F16" s="1205">
        <f>IF(C16&lt;=0,0,ราคาวัสดุ!C7)</f>
        <v>0</v>
      </c>
      <c r="G16" s="1205">
        <f t="shared" si="0"/>
        <v>0</v>
      </c>
      <c r="H16" s="1205">
        <f t="shared" si="1"/>
        <v>0</v>
      </c>
    </row>
    <row r="17" spans="1:10" ht="20.100000000000001" customHeight="1">
      <c r="A17" s="1203" t="s">
        <v>1137</v>
      </c>
      <c r="B17" s="1204" t="s">
        <v>1138</v>
      </c>
      <c r="C17" s="1206">
        <v>9.2999999999999999E-2</v>
      </c>
      <c r="D17" s="1200" t="s">
        <v>88</v>
      </c>
      <c r="E17" s="1201">
        <f>IF(C17&lt;=0,0,ราคาวัสดุ!B8)</f>
        <v>23128.09</v>
      </c>
      <c r="F17" s="1205">
        <f>IF(C17&lt;=0,0,ราคาวัสดุ!C8)</f>
        <v>4100</v>
      </c>
      <c r="G17" s="1205">
        <f t="shared" si="0"/>
        <v>27228.09</v>
      </c>
      <c r="H17" s="1205">
        <f t="shared" si="1"/>
        <v>2532.2123700000002</v>
      </c>
    </row>
    <row r="18" spans="1:10" ht="20.100000000000001" customHeight="1">
      <c r="A18" s="1203" t="s">
        <v>1139</v>
      </c>
      <c r="B18" s="1204" t="s">
        <v>1140</v>
      </c>
      <c r="C18" s="1206">
        <v>0</v>
      </c>
      <c r="D18" s="1200" t="s">
        <v>88</v>
      </c>
      <c r="E18" s="1205"/>
      <c r="F18" s="1205">
        <f>$F$16</f>
        <v>0</v>
      </c>
      <c r="G18" s="1205">
        <f t="shared" si="0"/>
        <v>0</v>
      </c>
      <c r="H18" s="1205">
        <f t="shared" si="1"/>
        <v>0</v>
      </c>
    </row>
    <row r="19" spans="1:10" ht="20.100000000000001" customHeight="1">
      <c r="A19" s="1203" t="s">
        <v>1141</v>
      </c>
      <c r="B19" s="1204" t="s">
        <v>1142</v>
      </c>
      <c r="C19" s="1206">
        <v>0</v>
      </c>
      <c r="D19" s="1200" t="s">
        <v>88</v>
      </c>
      <c r="E19" s="1205"/>
      <c r="F19" s="1205">
        <f>$F$16</f>
        <v>0</v>
      </c>
      <c r="G19" s="1205">
        <f t="shared" si="0"/>
        <v>0</v>
      </c>
      <c r="H19" s="1205">
        <f t="shared" si="1"/>
        <v>0</v>
      </c>
    </row>
    <row r="20" spans="1:10" ht="20.100000000000001" customHeight="1">
      <c r="A20" s="1203" t="s">
        <v>1143</v>
      </c>
      <c r="B20" s="1204" t="s">
        <v>1144</v>
      </c>
      <c r="C20" s="1206">
        <v>0</v>
      </c>
      <c r="D20" s="1200" t="s">
        <v>88</v>
      </c>
      <c r="E20" s="1205"/>
      <c r="F20" s="1205">
        <f>$F$16</f>
        <v>0</v>
      </c>
      <c r="G20" s="1205">
        <f t="shared" si="0"/>
        <v>0</v>
      </c>
      <c r="H20" s="1205">
        <f t="shared" si="1"/>
        <v>0</v>
      </c>
    </row>
    <row r="21" spans="1:10" ht="20.100000000000001" customHeight="1">
      <c r="A21" s="1203" t="s">
        <v>1145</v>
      </c>
      <c r="B21" s="1204" t="s">
        <v>1146</v>
      </c>
      <c r="C21" s="1206">
        <v>0</v>
      </c>
      <c r="D21" s="1200" t="s">
        <v>88</v>
      </c>
      <c r="E21" s="1205"/>
      <c r="F21" s="1205">
        <f>$F$16</f>
        <v>0</v>
      </c>
      <c r="G21" s="1205">
        <f t="shared" si="0"/>
        <v>0</v>
      </c>
      <c r="H21" s="1205">
        <f t="shared" si="1"/>
        <v>0</v>
      </c>
    </row>
    <row r="22" spans="1:10" ht="20.100000000000001" customHeight="1">
      <c r="A22" s="1203" t="s">
        <v>1147</v>
      </c>
      <c r="B22" s="1204" t="s">
        <v>899</v>
      </c>
      <c r="C22" s="1205">
        <f>(C17*1000)/25</f>
        <v>3.72</v>
      </c>
      <c r="D22" s="1200" t="s">
        <v>900</v>
      </c>
      <c r="E22" s="1201">
        <f>IF(C22&lt;=0,0,ราคาวัสดุ!B5)</f>
        <v>59.19</v>
      </c>
      <c r="F22" s="1205">
        <v>0</v>
      </c>
      <c r="G22" s="1205">
        <f t="shared" si="0"/>
        <v>59.19</v>
      </c>
      <c r="H22" s="1205">
        <f t="shared" si="1"/>
        <v>220.18680000000001</v>
      </c>
    </row>
    <row r="23" spans="1:10" ht="20.100000000000001" customHeight="1">
      <c r="A23" s="1203" t="s">
        <v>1148</v>
      </c>
      <c r="B23" s="1204" t="s">
        <v>1149</v>
      </c>
      <c r="C23" s="1205">
        <v>3.6</v>
      </c>
      <c r="D23" s="1200" t="s">
        <v>1024</v>
      </c>
      <c r="E23" s="1201">
        <f>IF(C23&lt;=0,0,ราคาวัสดุ!B10)</f>
        <v>484.12</v>
      </c>
      <c r="F23" s="1205">
        <v>0</v>
      </c>
      <c r="G23" s="1205">
        <f t="shared" si="0"/>
        <v>484.12</v>
      </c>
      <c r="H23" s="1205">
        <f t="shared" si="1"/>
        <v>1742.8320000000001</v>
      </c>
    </row>
    <row r="24" spans="1:10" ht="20.100000000000001" customHeight="1">
      <c r="A24" s="1203" t="s">
        <v>1150</v>
      </c>
      <c r="B24" s="1207" t="s">
        <v>1161</v>
      </c>
      <c r="C24" s="1208">
        <v>22</v>
      </c>
      <c r="D24" s="1209" t="s">
        <v>1108</v>
      </c>
      <c r="E24" s="1210">
        <v>72</v>
      </c>
      <c r="F24" s="1205">
        <v>0</v>
      </c>
      <c r="G24" s="1205">
        <f t="shared" si="0"/>
        <v>72</v>
      </c>
      <c r="H24" s="1205">
        <f t="shared" si="1"/>
        <v>1584</v>
      </c>
    </row>
    <row r="25" spans="1:10" ht="20.100000000000001" customHeight="1">
      <c r="A25" s="1203" t="s">
        <v>1151</v>
      </c>
      <c r="B25" s="1207" t="s">
        <v>1162</v>
      </c>
      <c r="C25" s="1205">
        <v>7</v>
      </c>
      <c r="D25" s="1200" t="s">
        <v>1108</v>
      </c>
      <c r="E25" s="1211">
        <v>99</v>
      </c>
      <c r="F25" s="1205">
        <v>0</v>
      </c>
      <c r="G25" s="1205">
        <f t="shared" si="0"/>
        <v>99</v>
      </c>
      <c r="H25" s="1205">
        <f t="shared" si="1"/>
        <v>693</v>
      </c>
    </row>
    <row r="26" spans="1:10" ht="20.100000000000001" customHeight="1">
      <c r="A26" s="1203" t="s">
        <v>1160</v>
      </c>
      <c r="B26" s="1212" t="s">
        <v>1159</v>
      </c>
      <c r="C26" s="1205">
        <v>1</v>
      </c>
      <c r="D26" s="1200" t="s">
        <v>1024</v>
      </c>
      <c r="E26" s="1205">
        <v>0</v>
      </c>
      <c r="F26" s="1205">
        <v>0</v>
      </c>
      <c r="G26" s="1205">
        <f>'1.ข้อมูล'!V73</f>
        <v>2260</v>
      </c>
      <c r="H26" s="1205">
        <f t="shared" si="1"/>
        <v>2260</v>
      </c>
    </row>
    <row r="27" spans="1:10" ht="20.100000000000001" customHeight="1">
      <c r="A27" s="1197"/>
      <c r="B27" s="1204"/>
      <c r="C27" s="1205"/>
      <c r="D27" s="1200"/>
      <c r="E27" s="1205"/>
      <c r="F27" s="1205"/>
      <c r="G27" s="1205"/>
      <c r="H27" s="1205"/>
    </row>
    <row r="28" spans="1:10" ht="20.100000000000001" customHeight="1">
      <c r="A28" s="1203"/>
      <c r="B28" s="1204"/>
      <c r="C28" s="1205"/>
      <c r="D28" s="1200"/>
      <c r="E28" s="1205"/>
      <c r="F28" s="1205"/>
      <c r="G28" s="1205"/>
      <c r="H28" s="1205"/>
    </row>
    <row r="29" spans="1:10" ht="20.100000000000001" customHeight="1">
      <c r="A29" s="1203"/>
      <c r="B29" s="1207"/>
      <c r="C29" s="1208"/>
      <c r="D29" s="1204"/>
      <c r="E29" s="1204"/>
      <c r="F29" s="1205"/>
      <c r="G29" s="1213"/>
      <c r="H29" s="1208"/>
    </row>
    <row r="30" spans="1:10" ht="20.100000000000001" customHeight="1">
      <c r="A30" s="1214"/>
      <c r="B30" s="1215"/>
      <c r="C30" s="1216"/>
      <c r="D30" s="1217"/>
      <c r="E30" s="1217"/>
      <c r="F30" s="1217"/>
      <c r="G30" s="1217"/>
      <c r="H30" s="1216"/>
    </row>
    <row r="31" spans="1:10" ht="25.5" customHeight="1">
      <c r="A31" s="1218"/>
      <c r="B31" s="2120" t="s">
        <v>1152</v>
      </c>
      <c r="C31" s="2120"/>
      <c r="D31" s="2120"/>
      <c r="E31" s="2120"/>
      <c r="F31" s="2120"/>
      <c r="G31" s="2120"/>
      <c r="H31" s="1219">
        <f>SUM(H7:H29)</f>
        <v>18870.256369999996</v>
      </c>
    </row>
    <row r="32" spans="1:10" s="1176" customFormat="1" ht="20.100000000000001" customHeight="1">
      <c r="A32" s="1220"/>
      <c r="B32" s="1221"/>
      <c r="C32" s="1221"/>
      <c r="D32" s="1221"/>
      <c r="E32" s="1221"/>
      <c r="F32" s="1221"/>
      <c r="G32" s="1221"/>
      <c r="H32" s="1222"/>
      <c r="J32" s="1223"/>
    </row>
    <row r="33" spans="2:8">
      <c r="B33" s="1224"/>
      <c r="D33" s="1225"/>
      <c r="E33" s="1176"/>
      <c r="F33" s="1176"/>
      <c r="G33" s="1226"/>
    </row>
    <row r="34" spans="2:8">
      <c r="D34" s="1172" t="s">
        <v>1111</v>
      </c>
      <c r="E34" s="1173" t="s">
        <v>1153</v>
      </c>
      <c r="F34" s="1174"/>
      <c r="G34" s="1175" t="s">
        <v>275</v>
      </c>
      <c r="H34" s="1174"/>
    </row>
    <row r="35" spans="2:8">
      <c r="D35" s="1225"/>
      <c r="E35" s="1175" t="s">
        <v>1154</v>
      </c>
      <c r="G35" s="1176"/>
      <c r="H35" s="1176"/>
    </row>
    <row r="36" spans="2:8">
      <c r="C36" s="1176"/>
      <c r="D36" s="1176"/>
      <c r="E36" s="2113" t="s">
        <v>971</v>
      </c>
      <c r="F36" s="2113"/>
      <c r="G36" s="1176"/>
      <c r="H36" s="1176"/>
    </row>
  </sheetData>
  <mergeCells count="9">
    <mergeCell ref="B31:G31"/>
    <mergeCell ref="E36:F36"/>
    <mergeCell ref="A1:H1"/>
    <mergeCell ref="A5:A6"/>
    <mergeCell ref="B5:B6"/>
    <mergeCell ref="C5:C6"/>
    <mergeCell ref="D5:D6"/>
    <mergeCell ref="E5:F5"/>
    <mergeCell ref="G5:G6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89" orientation="portrait" blackAndWhite="1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V208"/>
  <sheetViews>
    <sheetView showGridLines="0" zoomScale="90" zoomScaleNormal="90" workbookViewId="0">
      <selection activeCell="C2" sqref="C2"/>
    </sheetView>
  </sheetViews>
  <sheetFormatPr defaultColWidth="9.140625" defaultRowHeight="20.25"/>
  <cols>
    <col min="1" max="1" width="4.7109375" style="8" customWidth="1"/>
    <col min="2" max="2" width="10.5703125" style="8" customWidth="1"/>
    <col min="3" max="3" width="9.5703125" style="8" customWidth="1"/>
    <col min="4" max="4" width="10.7109375" style="8" customWidth="1"/>
    <col min="5" max="5" width="11" style="8" customWidth="1"/>
    <col min="6" max="6" width="11.140625" style="8" customWidth="1"/>
    <col min="7" max="7" width="6" style="8" customWidth="1"/>
    <col min="8" max="8" width="29.42578125" style="8" customWidth="1"/>
    <col min="9" max="58" width="9.140625" style="8"/>
    <col min="59" max="59" width="6.5703125" style="8" customWidth="1"/>
    <col min="60" max="60" width="12.140625" style="8" customWidth="1"/>
    <col min="61" max="61" width="14.7109375" style="8" customWidth="1"/>
    <col min="62" max="62" width="14.140625" style="8" customWidth="1"/>
    <col min="63" max="63" width="13.7109375" style="8" bestFit="1" customWidth="1"/>
    <col min="64" max="65" width="10.42578125" style="8" customWidth="1"/>
    <col min="66" max="66" width="10.140625" style="8" customWidth="1"/>
    <col min="67" max="67" width="9.85546875" style="8" customWidth="1"/>
    <col min="68" max="68" width="9.42578125" style="8" customWidth="1"/>
    <col min="69" max="69" width="10.85546875" style="8" customWidth="1"/>
    <col min="70" max="70" width="9.85546875" style="8" customWidth="1"/>
    <col min="71" max="71" width="11.42578125" style="8" bestFit="1" customWidth="1"/>
    <col min="72" max="72" width="13.140625" style="8" customWidth="1"/>
    <col min="73" max="73" width="12.5703125" style="8" customWidth="1"/>
    <col min="74" max="16384" width="9.140625" style="8"/>
  </cols>
  <sheetData>
    <row r="1" spans="2:74" ht="21">
      <c r="B1" s="108" t="s">
        <v>151</v>
      </c>
      <c r="C1" s="109"/>
      <c r="D1" s="110"/>
      <c r="E1" s="104" t="s">
        <v>114</v>
      </c>
      <c r="F1" s="105"/>
      <c r="H1" s="134" t="s">
        <v>70</v>
      </c>
      <c r="I1" s="10" t="s">
        <v>150</v>
      </c>
      <c r="J1" s="101"/>
      <c r="K1" s="102">
        <f>C2</f>
        <v>30.5</v>
      </c>
      <c r="L1" s="101"/>
      <c r="M1" s="158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I1" s="40" t="s">
        <v>96</v>
      </c>
      <c r="BJ1" s="41"/>
      <c r="BK1" s="41"/>
      <c r="BL1" s="41"/>
      <c r="BM1" s="41"/>
      <c r="BN1" s="41"/>
      <c r="BO1" s="41"/>
      <c r="BP1" s="41"/>
      <c r="BQ1" s="41"/>
    </row>
    <row r="2" spans="2:74" ht="21.75" thickBot="1">
      <c r="B2" s="111" t="s">
        <v>55</v>
      </c>
      <c r="C2" s="112">
        <f>'1.ข้อมูล'!G212</f>
        <v>30.5</v>
      </c>
      <c r="D2" s="107" t="s">
        <v>56</v>
      </c>
      <c r="E2" s="106">
        <f>'1.ข้อมูล'!G212</f>
        <v>30.5</v>
      </c>
      <c r="F2" s="107" t="s">
        <v>56</v>
      </c>
      <c r="G2" s="71"/>
      <c r="H2" s="11" t="s">
        <v>1</v>
      </c>
      <c r="I2" s="12" t="s">
        <v>18</v>
      </c>
      <c r="J2" s="1889">
        <v>22.5</v>
      </c>
      <c r="K2" s="1890"/>
      <c r="L2" s="1889">
        <v>23.5</v>
      </c>
      <c r="M2" s="1890"/>
      <c r="N2" s="1889">
        <v>24.5</v>
      </c>
      <c r="O2" s="1890"/>
      <c r="P2" s="1891">
        <v>25.5</v>
      </c>
      <c r="Q2" s="1891"/>
      <c r="R2" s="1883">
        <v>26.5</v>
      </c>
      <c r="S2" s="1892"/>
      <c r="T2" s="1891">
        <v>27.5</v>
      </c>
      <c r="U2" s="1891"/>
      <c r="V2" s="1883">
        <v>28.5</v>
      </c>
      <c r="W2" s="1892"/>
      <c r="X2" s="1883">
        <v>29.5</v>
      </c>
      <c r="Y2" s="1892"/>
      <c r="Z2" s="1883">
        <v>30.5</v>
      </c>
      <c r="AA2" s="1892"/>
      <c r="AB2" s="1883">
        <v>31.5</v>
      </c>
      <c r="AC2" s="1892"/>
      <c r="AD2" s="1883">
        <v>32.5</v>
      </c>
      <c r="AE2" s="1892"/>
      <c r="AF2" s="1883">
        <v>33.5</v>
      </c>
      <c r="AG2" s="1884"/>
      <c r="AH2" s="1883">
        <v>34.5</v>
      </c>
      <c r="AI2" s="1892"/>
      <c r="AJ2" s="1884">
        <v>35.5</v>
      </c>
      <c r="AK2" s="1884"/>
      <c r="AL2" s="1885">
        <v>36.5</v>
      </c>
      <c r="AM2" s="1886"/>
      <c r="AN2" s="1885">
        <v>37.5</v>
      </c>
      <c r="AO2" s="1886"/>
      <c r="AP2" s="1885">
        <v>38.5</v>
      </c>
      <c r="AQ2" s="1886"/>
      <c r="AR2" s="1885">
        <v>39.5</v>
      </c>
      <c r="AS2" s="1886"/>
      <c r="AT2" s="1880">
        <v>21.5</v>
      </c>
      <c r="AU2" s="1882"/>
      <c r="AV2" s="1880">
        <v>20.5</v>
      </c>
      <c r="AW2" s="1881"/>
      <c r="AX2" s="1880">
        <v>19.5</v>
      </c>
      <c r="AY2" s="1881"/>
      <c r="AZ2" s="1880">
        <v>18.5</v>
      </c>
      <c r="BA2" s="1881"/>
      <c r="BB2" s="1880">
        <v>17.5</v>
      </c>
      <c r="BC2" s="1881"/>
      <c r="BD2" s="14" t="s">
        <v>71</v>
      </c>
      <c r="BE2" s="15"/>
      <c r="BF2" s="16"/>
      <c r="BI2" s="42"/>
      <c r="BJ2" s="34" t="s">
        <v>97</v>
      </c>
      <c r="BK2" s="34"/>
      <c r="BL2" s="34"/>
      <c r="BM2" s="34"/>
      <c r="BN2" s="34"/>
      <c r="BO2" s="43"/>
      <c r="BP2" s="43"/>
      <c r="BQ2" s="34"/>
    </row>
    <row r="3" spans="2:74">
      <c r="B3" s="3" t="s">
        <v>4</v>
      </c>
      <c r="C3" s="57" t="s">
        <v>54</v>
      </c>
      <c r="D3" s="57" t="s">
        <v>54</v>
      </c>
      <c r="E3" s="57" t="s">
        <v>54</v>
      </c>
      <c r="F3" s="57" t="s">
        <v>54</v>
      </c>
      <c r="G3" s="71"/>
      <c r="H3" s="20"/>
      <c r="I3" s="20"/>
      <c r="J3" s="94" t="s">
        <v>72</v>
      </c>
      <c r="K3" s="95" t="s">
        <v>69</v>
      </c>
      <c r="L3" s="94" t="s">
        <v>72</v>
      </c>
      <c r="M3" s="95" t="s">
        <v>69</v>
      </c>
      <c r="N3" s="94" t="s">
        <v>72</v>
      </c>
      <c r="O3" s="95" t="s">
        <v>69</v>
      </c>
      <c r="P3" s="628" t="s">
        <v>72</v>
      </c>
      <c r="Q3" s="629" t="s">
        <v>69</v>
      </c>
      <c r="R3" s="628" t="s">
        <v>72</v>
      </c>
      <c r="S3" s="629" t="s">
        <v>69</v>
      </c>
      <c r="T3" s="628" t="s">
        <v>72</v>
      </c>
      <c r="U3" s="629" t="s">
        <v>69</v>
      </c>
      <c r="V3" s="628" t="s">
        <v>72</v>
      </c>
      <c r="W3" s="629" t="s">
        <v>69</v>
      </c>
      <c r="X3" s="628" t="s">
        <v>72</v>
      </c>
      <c r="Y3" s="629" t="s">
        <v>69</v>
      </c>
      <c r="Z3" s="628" t="s">
        <v>72</v>
      </c>
      <c r="AA3" s="629" t="s">
        <v>69</v>
      </c>
      <c r="AB3" s="628" t="s">
        <v>72</v>
      </c>
      <c r="AC3" s="629" t="s">
        <v>69</v>
      </c>
      <c r="AD3" s="628" t="s">
        <v>72</v>
      </c>
      <c r="AE3" s="629" t="s">
        <v>69</v>
      </c>
      <c r="AF3" s="628" t="s">
        <v>72</v>
      </c>
      <c r="AG3" s="629" t="s">
        <v>69</v>
      </c>
      <c r="AH3" s="628" t="s">
        <v>72</v>
      </c>
      <c r="AI3" s="629" t="s">
        <v>69</v>
      </c>
      <c r="AJ3" s="628" t="s">
        <v>72</v>
      </c>
      <c r="AK3" s="629" t="s">
        <v>69</v>
      </c>
      <c r="AL3" s="94" t="s">
        <v>72</v>
      </c>
      <c r="AM3" s="95" t="s">
        <v>69</v>
      </c>
      <c r="AN3" s="94" t="s">
        <v>72</v>
      </c>
      <c r="AO3" s="95" t="s">
        <v>69</v>
      </c>
      <c r="AP3" s="94" t="s">
        <v>72</v>
      </c>
      <c r="AQ3" s="95" t="s">
        <v>69</v>
      </c>
      <c r="AR3" s="94" t="s">
        <v>72</v>
      </c>
      <c r="AS3" s="95" t="s">
        <v>69</v>
      </c>
      <c r="AT3" s="94" t="s">
        <v>72</v>
      </c>
      <c r="AU3" s="95" t="s">
        <v>69</v>
      </c>
      <c r="AV3" s="94" t="s">
        <v>72</v>
      </c>
      <c r="AW3" s="95" t="s">
        <v>69</v>
      </c>
      <c r="AX3" s="94" t="s">
        <v>72</v>
      </c>
      <c r="AY3" s="95" t="s">
        <v>69</v>
      </c>
      <c r="AZ3" s="94" t="s">
        <v>72</v>
      </c>
      <c r="BA3" s="95" t="s">
        <v>69</v>
      </c>
      <c r="BB3" s="94" t="s">
        <v>72</v>
      </c>
      <c r="BC3" s="95" t="s">
        <v>69</v>
      </c>
      <c r="BD3" s="17" t="s">
        <v>72</v>
      </c>
      <c r="BE3" s="18" t="s">
        <v>69</v>
      </c>
      <c r="BF3" s="19" t="str">
        <f>IF('1.ข้อมูล'!Q16=0,BD3,IF('1.ข้อมูล'!Q16=1,BE3,IF('1.ข้อมูล'!Q16=2,BE3,)))</f>
        <v>ปกติ</v>
      </c>
      <c r="BI3" s="42"/>
      <c r="BJ3" s="34" t="s">
        <v>58</v>
      </c>
      <c r="BK3" s="34"/>
      <c r="BL3" s="34"/>
      <c r="BM3" s="34">
        <v>7</v>
      </c>
      <c r="BN3" s="34" t="s">
        <v>59</v>
      </c>
      <c r="BO3" s="34"/>
      <c r="BP3" s="34"/>
      <c r="BQ3" s="34"/>
    </row>
    <row r="4" spans="2:74" ht="21" thickBot="1">
      <c r="B4" s="6" t="s">
        <v>37</v>
      </c>
      <c r="C4" s="72" t="s">
        <v>7</v>
      </c>
      <c r="D4" s="72" t="s">
        <v>3</v>
      </c>
      <c r="E4" s="72" t="s">
        <v>7</v>
      </c>
      <c r="F4" s="72" t="s">
        <v>3</v>
      </c>
      <c r="G4" s="70"/>
      <c r="H4" s="21" t="s">
        <v>73</v>
      </c>
      <c r="I4" s="22"/>
      <c r="J4" s="96"/>
      <c r="K4" s="96"/>
      <c r="L4" s="96"/>
      <c r="M4" s="96"/>
      <c r="N4" s="96"/>
      <c r="O4" s="96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30"/>
      <c r="BE4" s="30"/>
      <c r="BF4" s="30"/>
      <c r="BI4" s="42"/>
      <c r="BJ4" s="34" t="s">
        <v>61</v>
      </c>
      <c r="BK4" s="34"/>
      <c r="BL4" s="34"/>
      <c r="BM4" s="34">
        <f>'1.ข้อมูล'!Q10</f>
        <v>0</v>
      </c>
      <c r="BN4" s="34" t="s">
        <v>59</v>
      </c>
      <c r="BO4" s="34"/>
      <c r="BP4" s="34"/>
      <c r="BQ4" s="34"/>
    </row>
    <row r="5" spans="2:74">
      <c r="B5" s="148">
        <v>1</v>
      </c>
      <c r="C5" s="73">
        <f>IF($C$2=22.5,'S3'!A5,IF($C$2=23.5,'S3'!B5,IF($C$2=24.5,'S3'!C5,IF($C$2=25.5,'S3'!D5,IF($C$2=26.5,'S3'!E5,IF($C$2=27.5,'S3'!F5,IF($C$2=28.5,'S3'!G5,IF($C$2=29.5,'S3'!H5,IF($C$2=30.5,'S3'!I5,IF($C$2=31.5,'S3'!J5,IF($C$2=32.5,'S3'!K5,IF($C$2=33.5,'S3'!L5))))))))))))</f>
        <v>8.14</v>
      </c>
      <c r="D5" s="74">
        <f>ROUND(C5*1.4,2)</f>
        <v>11.4</v>
      </c>
      <c r="E5" s="73">
        <f>IF($E$2=22.5,'S3'!Y5,IF($E$2=23.5,'S3'!Z5,IF($E$2=24.5,'S3'!AA5,IF($E$2=25.5,'S3'!AB5,IF($E$2=26.5,'S3'!AC5,IF($E$2=27.5,'S3'!AD5,IF($E$2=28.5,'S3'!AE5,IF($E$2=29.5,'S3'!AF5,IF($E$2=30.5,'S3'!AG5,IF($E$2=31.5,'S3'!AH5,IF($E$2=32.5,'S3'!AI5,IF($E$2=33.5,'S3'!AJ5))))))))))))</f>
        <v>4.5</v>
      </c>
      <c r="F5" s="73">
        <f>ROUND(E5*1.4,2)</f>
        <v>6.3</v>
      </c>
      <c r="H5" s="22" t="s">
        <v>74</v>
      </c>
      <c r="I5" s="23" t="s">
        <v>75</v>
      </c>
      <c r="J5" s="97">
        <v>29.64</v>
      </c>
      <c r="K5" s="98">
        <v>31.27</v>
      </c>
      <c r="L5" s="97">
        <v>29.95</v>
      </c>
      <c r="M5" s="98">
        <v>31.58</v>
      </c>
      <c r="N5" s="97">
        <v>30.25</v>
      </c>
      <c r="O5" s="98">
        <v>31.88</v>
      </c>
      <c r="P5" s="1235">
        <v>30.56</v>
      </c>
      <c r="Q5" s="1236">
        <v>32.19</v>
      </c>
      <c r="R5" s="1235">
        <v>30.86</v>
      </c>
      <c r="S5" s="1236">
        <v>32.49</v>
      </c>
      <c r="T5" s="1235">
        <v>31.16</v>
      </c>
      <c r="U5" s="1236">
        <v>32.79</v>
      </c>
      <c r="V5" s="1235">
        <v>31.47</v>
      </c>
      <c r="W5" s="1236">
        <v>33.1</v>
      </c>
      <c r="X5" s="1235">
        <v>31.77</v>
      </c>
      <c r="Y5" s="1236">
        <v>33.4</v>
      </c>
      <c r="Z5" s="1236">
        <v>32.07</v>
      </c>
      <c r="AA5" s="1236">
        <v>33.700000000000003</v>
      </c>
      <c r="AB5" s="1236">
        <v>32.380000000000003</v>
      </c>
      <c r="AC5" s="1236">
        <v>34.01</v>
      </c>
      <c r="AD5" s="1237">
        <v>32.68</v>
      </c>
      <c r="AE5" s="1237">
        <v>34.31</v>
      </c>
      <c r="AF5" s="1237">
        <v>32.99</v>
      </c>
      <c r="AG5" s="1237">
        <v>34.619999999999997</v>
      </c>
      <c r="AH5" s="1237">
        <v>33.29</v>
      </c>
      <c r="AI5" s="1237">
        <v>34.92</v>
      </c>
      <c r="AJ5" s="1237">
        <v>33.590000000000003</v>
      </c>
      <c r="AK5" s="1237">
        <v>35.22</v>
      </c>
      <c r="AL5" s="1238">
        <v>33.9</v>
      </c>
      <c r="AM5" s="1238">
        <v>35.53</v>
      </c>
      <c r="AN5" s="1238">
        <v>34.200000000000003</v>
      </c>
      <c r="AO5" s="1238">
        <v>35.83</v>
      </c>
      <c r="AP5" s="1238">
        <v>34.5</v>
      </c>
      <c r="AQ5" s="1238">
        <v>36.130000000000003</v>
      </c>
      <c r="AR5" s="1238">
        <v>34.81</v>
      </c>
      <c r="AS5" s="1238">
        <v>36.44</v>
      </c>
      <c r="AT5" s="1238">
        <v>29.34</v>
      </c>
      <c r="AU5" s="1238">
        <v>30.97</v>
      </c>
      <c r="AV5" s="1238">
        <v>29.04</v>
      </c>
      <c r="AW5" s="1238">
        <v>30.67</v>
      </c>
      <c r="AX5" s="1238">
        <v>25.54</v>
      </c>
      <c r="AY5" s="1238">
        <v>27.13</v>
      </c>
      <c r="AZ5" s="1238">
        <v>25.24</v>
      </c>
      <c r="BA5" s="1238">
        <v>26.83</v>
      </c>
      <c r="BB5" s="1238">
        <v>24.93</v>
      </c>
      <c r="BC5" s="1238">
        <v>26.52</v>
      </c>
      <c r="BD5" s="150">
        <f t="shared" ref="BD5:BE7" si="0">IF($C$2=22.5,J5,IF($C$2=23.5,L5,IF($C$2=24.5,N5,IF($C$2=25.5,P5,IF($C$2=26.5,R5,IF($C$2=27.5,T5,IF($C$2=28.5,V5,IF($C$2=29.5,X5,IF($C$2=30.5,Z5,IF($C$2=31.5,AB5,IF($C$2=32.5,AD5,IF($C$2=33.5,AF5))))))))))))</f>
        <v>32.07</v>
      </c>
      <c r="BE5" s="150">
        <f t="shared" si="0"/>
        <v>33.700000000000003</v>
      </c>
      <c r="BF5" s="92">
        <f>IF('1.ข้อมูล'!$Q$16=0,BD5,IF('1.ข้อมูล'!$Q$16=1,BE5,IF('1.ข้อมูล'!$Q$16=2,BE5,)))</f>
        <v>32.07</v>
      </c>
      <c r="BI5" s="42"/>
      <c r="BJ5" s="34" t="s">
        <v>63</v>
      </c>
      <c r="BK5" s="34"/>
      <c r="BL5" s="34"/>
      <c r="BM5" s="34">
        <f>'1.ข้อมูล'!Q11</f>
        <v>0</v>
      </c>
      <c r="BN5" s="34" t="s">
        <v>59</v>
      </c>
      <c r="BO5" s="34"/>
      <c r="BP5" s="34"/>
      <c r="BQ5" s="34"/>
    </row>
    <row r="6" spans="2:74">
      <c r="B6" s="148">
        <v>2</v>
      </c>
      <c r="C6" s="74">
        <f>IF($C$2=22.5,'S3'!A6,IF($C$2=23.5,'S3'!B6,IF($C$2=24.5,'S3'!C6,IF($C$2=25.5,'S3'!D6,IF($C$2=26.5,'S3'!E6,IF($C$2=27.5,'S3'!F6,IF($C$2=28.5,'S3'!G6,IF($C$2=29.5,'S3'!H6,IF($C$2=30.5,'S3'!I6,IF($C$2=31.5,'S3'!J6,IF($C$2=32.5,'S3'!K6,IF($C$2=33.5,'S3'!L6))))))))))))</f>
        <v>9.9700000000000006</v>
      </c>
      <c r="D6" s="74">
        <f t="shared" ref="D6:D69" si="1">ROUND(C6*1.4,2)</f>
        <v>13.96</v>
      </c>
      <c r="E6" s="74">
        <f>IF($E$2=22.5,'S3'!Y6,IF($E$2=23.5,'S3'!Z6,IF($E$2=24.5,'S3'!AA6,IF($E$2=25.5,'S3'!AB6,IF($E$2=26.5,'S3'!AC6,IF($E$2=27.5,'S3'!AD6,IF($E$2=28.5,'S3'!AE6,IF($E$2=29.5,'S3'!AF6,IF($E$2=30.5,'S3'!AG6,IF($E$2=31.5,'S3'!AH6,IF($E$2=32.5,'S3'!AI6,IF($E$2=33.5,'S3'!AJ6))))))))))))</f>
        <v>5.89</v>
      </c>
      <c r="F6" s="74">
        <f t="shared" ref="F6:F69" si="2">ROUND(E6*1.4,2)</f>
        <v>8.25</v>
      </c>
      <c r="H6" s="22" t="s">
        <v>76</v>
      </c>
      <c r="I6" s="23" t="s">
        <v>77</v>
      </c>
      <c r="J6" s="97">
        <v>9.09</v>
      </c>
      <c r="K6" s="98">
        <v>9.4600000000000009</v>
      </c>
      <c r="L6" s="97">
        <v>9.18</v>
      </c>
      <c r="M6" s="98">
        <v>9.5500000000000007</v>
      </c>
      <c r="N6" s="97">
        <v>9.26</v>
      </c>
      <c r="O6" s="98">
        <v>9.6300000000000008</v>
      </c>
      <c r="P6" s="1235">
        <v>9.34</v>
      </c>
      <c r="Q6" s="1236">
        <v>9.7100000000000009</v>
      </c>
      <c r="R6" s="1235">
        <v>9.42</v>
      </c>
      <c r="S6" s="1236">
        <v>9.7899999999999991</v>
      </c>
      <c r="T6" s="1235">
        <v>9.51</v>
      </c>
      <c r="U6" s="1236">
        <v>9.8800000000000008</v>
      </c>
      <c r="V6" s="1235">
        <v>9.59</v>
      </c>
      <c r="W6" s="1236">
        <v>9.9600000000000009</v>
      </c>
      <c r="X6" s="1235">
        <v>9.67</v>
      </c>
      <c r="Y6" s="1236">
        <v>10.039999999999999</v>
      </c>
      <c r="Z6" s="1236">
        <v>9.76</v>
      </c>
      <c r="AA6" s="1236">
        <v>10.130000000000001</v>
      </c>
      <c r="AB6" s="1236">
        <v>9.84</v>
      </c>
      <c r="AC6" s="1236">
        <v>10.210000000000001</v>
      </c>
      <c r="AD6" s="1237">
        <v>9.92</v>
      </c>
      <c r="AE6" s="1237">
        <v>10.29</v>
      </c>
      <c r="AF6" s="1237">
        <v>10</v>
      </c>
      <c r="AG6" s="1237">
        <v>10.37</v>
      </c>
      <c r="AH6" s="1237">
        <v>10.09</v>
      </c>
      <c r="AI6" s="1237">
        <v>10.46</v>
      </c>
      <c r="AJ6" s="1237">
        <v>10.17</v>
      </c>
      <c r="AK6" s="1237">
        <v>10.54</v>
      </c>
      <c r="AL6" s="1238">
        <v>10.25</v>
      </c>
      <c r="AM6" s="1238">
        <v>10.62</v>
      </c>
      <c r="AN6" s="1238">
        <v>10.34</v>
      </c>
      <c r="AO6" s="1238">
        <v>10.71</v>
      </c>
      <c r="AP6" s="1238">
        <v>10.42</v>
      </c>
      <c r="AQ6" s="1238">
        <v>10.79</v>
      </c>
      <c r="AR6" s="1238">
        <v>10.5</v>
      </c>
      <c r="AS6" s="1238">
        <v>10.87</v>
      </c>
      <c r="AT6" s="1238">
        <v>9.01</v>
      </c>
      <c r="AU6" s="1238">
        <v>9.3800000000000008</v>
      </c>
      <c r="AV6" s="1238">
        <v>8.93</v>
      </c>
      <c r="AW6" s="1238">
        <v>9.3000000000000007</v>
      </c>
      <c r="AX6" s="1238">
        <v>6.74</v>
      </c>
      <c r="AY6" s="1238">
        <v>6.99</v>
      </c>
      <c r="AZ6" s="1238">
        <v>6.66</v>
      </c>
      <c r="BA6" s="1238">
        <v>6.91</v>
      </c>
      <c r="BB6" s="1238">
        <v>6.57</v>
      </c>
      <c r="BC6" s="1238">
        <v>6.83</v>
      </c>
      <c r="BD6" s="150">
        <f t="shared" si="0"/>
        <v>9.76</v>
      </c>
      <c r="BE6" s="150">
        <f t="shared" si="0"/>
        <v>10.130000000000001</v>
      </c>
      <c r="BF6" s="92">
        <f>IF('1.ข้อมูล'!$Q$16=0,BD6,IF('1.ข้อมูล'!$Q$16=1,BE6,IF('1.ข้อมูล'!$Q$16=2,BE6,)))</f>
        <v>9.76</v>
      </c>
      <c r="BI6" s="42"/>
      <c r="BJ6" s="34" t="s">
        <v>65</v>
      </c>
      <c r="BK6" s="34"/>
      <c r="BL6" s="34"/>
      <c r="BM6" s="34">
        <f>'1.ข้อมูล'!Q12</f>
        <v>0</v>
      </c>
      <c r="BN6" s="34" t="s">
        <v>59</v>
      </c>
      <c r="BO6" s="34"/>
      <c r="BP6" s="34"/>
      <c r="BQ6" s="34"/>
    </row>
    <row r="7" spans="2:74" ht="22.5" thickBot="1">
      <c r="B7" s="148">
        <v>3</v>
      </c>
      <c r="C7" s="74">
        <f>IF($C$2=22.5,'S3'!A7,IF($C$2=23.5,'S3'!B7,IF($C$2=24.5,'S3'!C7,IF($C$2=25.5,'S3'!D7,IF($C$2=26.5,'S3'!E7,IF($C$2=27.5,'S3'!F7,IF($C$2=28.5,'S3'!G7,IF($C$2=29.5,'S3'!H7,IF($C$2=30.5,'S3'!I7,IF($C$2=31.5,'S3'!J7,IF($C$2=32.5,'S3'!K7,IF($C$2=33.5,'S3'!L7))))))))))))</f>
        <v>11.81</v>
      </c>
      <c r="D7" s="74">
        <f t="shared" si="1"/>
        <v>16.53</v>
      </c>
      <c r="E7" s="74">
        <f>IF($E$2=22.5,'S3'!Y7,IF($E$2=23.5,'S3'!Z7,IF($E$2=24.5,'S3'!AA7,IF($E$2=25.5,'S3'!AB7,IF($E$2=26.5,'S3'!AC7,IF($E$2=27.5,'S3'!AD7,IF($E$2=28.5,'S3'!AE7,IF($E$2=29.5,'S3'!AF7,IF($E$2=30.5,'S3'!AG7,IF($E$2=31.5,'S3'!AH7,IF($E$2=32.5,'S3'!AI7,IF($E$2=33.5,'S3'!AJ7))))))))))))</f>
        <v>7.27</v>
      </c>
      <c r="F7" s="74">
        <f t="shared" si="2"/>
        <v>10.18</v>
      </c>
      <c r="H7" s="24" t="s">
        <v>78</v>
      </c>
      <c r="I7" s="23" t="s">
        <v>77</v>
      </c>
      <c r="J7" s="97">
        <v>50.8</v>
      </c>
      <c r="K7" s="98">
        <v>54.04</v>
      </c>
      <c r="L7" s="97">
        <v>51.34</v>
      </c>
      <c r="M7" s="98">
        <v>54.58</v>
      </c>
      <c r="N7" s="97">
        <v>51.88</v>
      </c>
      <c r="O7" s="98">
        <v>55.12</v>
      </c>
      <c r="P7" s="1235">
        <v>54.42</v>
      </c>
      <c r="Q7" s="1236">
        <v>55.66</v>
      </c>
      <c r="R7" s="1235">
        <v>52.96</v>
      </c>
      <c r="S7" s="1236">
        <v>56.2</v>
      </c>
      <c r="T7" s="1235">
        <v>53.5</v>
      </c>
      <c r="U7" s="1236">
        <v>56.74</v>
      </c>
      <c r="V7" s="1235">
        <v>54.04</v>
      </c>
      <c r="W7" s="1236">
        <v>52.28</v>
      </c>
      <c r="X7" s="1235">
        <v>54.58</v>
      </c>
      <c r="Y7" s="1236">
        <v>57.82</v>
      </c>
      <c r="Z7" s="1236">
        <v>55.12</v>
      </c>
      <c r="AA7" s="1236">
        <v>58.36</v>
      </c>
      <c r="AB7" s="1236">
        <v>55.66</v>
      </c>
      <c r="AC7" s="1236">
        <v>58.9</v>
      </c>
      <c r="AD7" s="1237">
        <v>56.21</v>
      </c>
      <c r="AE7" s="1237">
        <v>59.45</v>
      </c>
      <c r="AF7" s="1237">
        <v>56.75</v>
      </c>
      <c r="AG7" s="1237">
        <v>59.99</v>
      </c>
      <c r="AH7" s="1237">
        <v>57.29</v>
      </c>
      <c r="AI7" s="1237">
        <v>60.53</v>
      </c>
      <c r="AJ7" s="1237">
        <v>57.83</v>
      </c>
      <c r="AK7" s="1237">
        <v>61.07</v>
      </c>
      <c r="AL7" s="1238">
        <v>58.37</v>
      </c>
      <c r="AM7" s="1238">
        <v>61.61</v>
      </c>
      <c r="AN7" s="1238">
        <v>58.91</v>
      </c>
      <c r="AO7" s="1238">
        <v>62.15</v>
      </c>
      <c r="AP7" s="1238">
        <v>59.45</v>
      </c>
      <c r="AQ7" s="1238">
        <v>62.69</v>
      </c>
      <c r="AR7" s="1238">
        <v>59.99</v>
      </c>
      <c r="AS7" s="1238">
        <v>63.23</v>
      </c>
      <c r="AT7" s="1238">
        <v>50.25</v>
      </c>
      <c r="AU7" s="1238">
        <v>53.49</v>
      </c>
      <c r="AV7" s="1238">
        <v>49.71</v>
      </c>
      <c r="AW7" s="1238">
        <v>52.95</v>
      </c>
      <c r="AX7" s="1238">
        <v>37.78</v>
      </c>
      <c r="AY7" s="1238">
        <v>40.15</v>
      </c>
      <c r="AZ7" s="1238">
        <v>37.24</v>
      </c>
      <c r="BA7" s="1238">
        <v>39.61</v>
      </c>
      <c r="BB7" s="1238">
        <v>36.700000000000003</v>
      </c>
      <c r="BC7" s="1238">
        <v>39.07</v>
      </c>
      <c r="BD7" s="150">
        <f t="shared" si="0"/>
        <v>55.12</v>
      </c>
      <c r="BE7" s="150">
        <f t="shared" si="0"/>
        <v>58.36</v>
      </c>
      <c r="BF7" s="92">
        <f>IF('1.ข้อมูล'!$Q$16=0,BD7,IF('1.ข้อมูล'!$Q$16=1,BE7,IF('1.ข้อมูล'!$Q$16=2,BE7,)))</f>
        <v>55.12</v>
      </c>
      <c r="BI7" s="42"/>
      <c r="BJ7" s="44" t="s">
        <v>98</v>
      </c>
      <c r="BK7"/>
      <c r="BL7" s="44"/>
      <c r="BM7" s="8">
        <v>3</v>
      </c>
      <c r="BN7" s="44" t="s">
        <v>99</v>
      </c>
      <c r="BO7" s="34"/>
      <c r="BP7" s="34"/>
      <c r="BQ7" s="34"/>
    </row>
    <row r="8" spans="2:74">
      <c r="B8" s="148">
        <v>4</v>
      </c>
      <c r="C8" s="74">
        <f>IF($C$2=22.5,'S3'!A8,IF($C$2=23.5,'S3'!B8,IF($C$2=24.5,'S3'!C8,IF($C$2=25.5,'S3'!D8,IF($C$2=26.5,'S3'!E8,IF($C$2=27.5,'S3'!F8,IF($C$2=28.5,'S3'!G8,IF($C$2=29.5,'S3'!H8,IF($C$2=30.5,'S3'!I8,IF($C$2=31.5,'S3'!J8,IF($C$2=32.5,'S3'!K8,IF($C$2=33.5,'S3'!L8))))))))))))</f>
        <v>13.64</v>
      </c>
      <c r="D8" s="74">
        <f t="shared" si="1"/>
        <v>19.100000000000001</v>
      </c>
      <c r="E8" s="74">
        <f>IF($E$2=22.5,'S3'!Y8,IF($E$2=23.5,'S3'!Z8,IF($E$2=24.5,'S3'!AA8,IF($E$2=25.5,'S3'!AB8,IF($E$2=26.5,'S3'!AC8,IF($E$2=27.5,'S3'!AD8,IF($E$2=28.5,'S3'!AE8,IF($E$2=29.5,'S3'!AF8,IF($E$2=30.5,'S3'!AG8,IF($E$2=31.5,'S3'!AH8,IF($E$2=32.5,'S3'!AI8,IF($E$2=33.5,'S3'!AJ8))))))))))))</f>
        <v>8.66</v>
      </c>
      <c r="F8" s="74">
        <f t="shared" si="2"/>
        <v>12.12</v>
      </c>
      <c r="H8" s="25" t="s">
        <v>79</v>
      </c>
      <c r="I8" s="26"/>
      <c r="J8" s="99"/>
      <c r="K8" s="99"/>
      <c r="L8" s="99"/>
      <c r="M8" s="99"/>
      <c r="N8" s="99"/>
      <c r="O8" s="99"/>
      <c r="P8" s="1239"/>
      <c r="Q8" s="1239"/>
      <c r="R8" s="1239"/>
      <c r="S8" s="1239"/>
      <c r="T8" s="1239"/>
      <c r="U8" s="1239"/>
      <c r="V8" s="1239"/>
      <c r="W8" s="1239"/>
      <c r="X8" s="1239"/>
      <c r="Y8" s="1239"/>
      <c r="Z8" s="1239"/>
      <c r="AA8" s="1239"/>
      <c r="AB8" s="1239"/>
      <c r="AC8" s="1239"/>
      <c r="AD8" s="1240"/>
      <c r="AE8" s="1240"/>
      <c r="AF8" s="1240"/>
      <c r="AG8" s="1240"/>
      <c r="AH8" s="1240"/>
      <c r="AI8" s="1240"/>
      <c r="AJ8" s="1240"/>
      <c r="AK8" s="1240"/>
      <c r="AL8" s="1241"/>
      <c r="AM8" s="1241"/>
      <c r="AN8" s="1241"/>
      <c r="AO8" s="1241"/>
      <c r="AP8" s="1241"/>
      <c r="AQ8" s="1241"/>
      <c r="AR8" s="1241"/>
      <c r="AS8" s="1241"/>
      <c r="AT8" s="1241"/>
      <c r="AU8" s="1241"/>
      <c r="AV8" s="1241"/>
      <c r="AW8" s="1241"/>
      <c r="AX8" s="1241"/>
      <c r="AY8" s="1241"/>
      <c r="AZ8" s="1241"/>
      <c r="BA8" s="1241"/>
      <c r="BB8" s="1241"/>
      <c r="BC8" s="1241"/>
      <c r="BD8" s="9"/>
      <c r="BE8" s="9"/>
      <c r="BF8" s="9"/>
      <c r="BI8" s="45" t="s">
        <v>100</v>
      </c>
      <c r="BJ8" s="85" t="s">
        <v>100</v>
      </c>
      <c r="BK8" s="57" t="s">
        <v>100</v>
      </c>
      <c r="BL8" s="45" t="s">
        <v>101</v>
      </c>
      <c r="BM8" s="4" t="s">
        <v>102</v>
      </c>
      <c r="BN8" s="4" t="s">
        <v>103</v>
      </c>
      <c r="BO8" s="4" t="s">
        <v>104</v>
      </c>
      <c r="BP8" s="4" t="s">
        <v>105</v>
      </c>
      <c r="BQ8" s="4" t="s">
        <v>106</v>
      </c>
      <c r="BR8" s="4" t="s">
        <v>107</v>
      </c>
      <c r="BS8" s="85" t="s">
        <v>2</v>
      </c>
      <c r="BT8" s="85" t="s">
        <v>157</v>
      </c>
      <c r="BU8" s="5" t="s">
        <v>158</v>
      </c>
    </row>
    <row r="9" spans="2:74" ht="21" thickBot="1">
      <c r="B9" s="148">
        <v>5</v>
      </c>
      <c r="C9" s="74">
        <f>IF($C$2=22.5,'S3'!A9,IF($C$2=23.5,'S3'!B9,IF($C$2=24.5,'S3'!C9,IF($C$2=25.5,'S3'!D9,IF($C$2=26.5,'S3'!E9,IF($C$2=27.5,'S3'!F9,IF($C$2=28.5,'S3'!G9,IF($C$2=29.5,'S3'!H9,IF($C$2=30.5,'S3'!I9,IF($C$2=31.5,'S3'!J9,IF($C$2=32.5,'S3'!K9,IF($C$2=33.5,'S3'!L9))))))))))))</f>
        <v>15.47</v>
      </c>
      <c r="D9" s="74">
        <f t="shared" si="1"/>
        <v>21.66</v>
      </c>
      <c r="E9" s="74">
        <f>IF($E$2=22.5,'S3'!Y9,IF($E$2=23.5,'S3'!Z9,IF($E$2=24.5,'S3'!AA9,IF($E$2=25.5,'S3'!AB9,IF($E$2=26.5,'S3'!AC9,IF($E$2=27.5,'S3'!AD9,IF($E$2=28.5,'S3'!AE9,IF($E$2=29.5,'S3'!AF9,IF($E$2=30.5,'S3'!AG9,IF($E$2=31.5,'S3'!AH9,IF($E$2=32.5,'S3'!AI9,IF($E$2=33.5,'S3'!AJ9))))))))))))</f>
        <v>10.039999999999999</v>
      </c>
      <c r="F9" s="74">
        <f t="shared" si="2"/>
        <v>14.06</v>
      </c>
      <c r="H9" s="24" t="s">
        <v>80</v>
      </c>
      <c r="I9" s="23" t="s">
        <v>77</v>
      </c>
      <c r="J9" s="97">
        <v>23.57</v>
      </c>
      <c r="K9" s="98">
        <v>24.62</v>
      </c>
      <c r="L9" s="97">
        <v>23.71</v>
      </c>
      <c r="M9" s="98">
        <v>24.76</v>
      </c>
      <c r="N9" s="97">
        <v>23.85</v>
      </c>
      <c r="O9" s="98">
        <v>24.9</v>
      </c>
      <c r="P9" s="1235">
        <v>24</v>
      </c>
      <c r="Q9" s="1236">
        <v>25.05</v>
      </c>
      <c r="R9" s="1235">
        <v>24.14</v>
      </c>
      <c r="S9" s="1236">
        <v>25.19</v>
      </c>
      <c r="T9" s="1235">
        <v>24.28</v>
      </c>
      <c r="U9" s="1236">
        <v>25.33</v>
      </c>
      <c r="V9" s="1235">
        <v>24.42</v>
      </c>
      <c r="W9" s="1236">
        <v>25.47</v>
      </c>
      <c r="X9" s="1235">
        <v>24.57</v>
      </c>
      <c r="Y9" s="1236">
        <v>25.62</v>
      </c>
      <c r="Z9" s="1236">
        <v>24.71</v>
      </c>
      <c r="AA9" s="1236">
        <v>25.76</v>
      </c>
      <c r="AB9" s="1236">
        <v>24.85</v>
      </c>
      <c r="AC9" s="1236">
        <v>25.9</v>
      </c>
      <c r="AD9" s="1237">
        <v>25</v>
      </c>
      <c r="AE9" s="1237">
        <v>26.05</v>
      </c>
      <c r="AF9" s="1237">
        <v>25.14</v>
      </c>
      <c r="AG9" s="1237">
        <v>26.19</v>
      </c>
      <c r="AH9" s="1237">
        <v>25.28</v>
      </c>
      <c r="AI9" s="1237">
        <v>26.33</v>
      </c>
      <c r="AJ9" s="1237">
        <v>25.42</v>
      </c>
      <c r="AK9" s="1237">
        <v>26.47</v>
      </c>
      <c r="AL9" s="1238">
        <v>25.57</v>
      </c>
      <c r="AM9" s="1238">
        <v>26.62</v>
      </c>
      <c r="AN9" s="1238">
        <v>25.71</v>
      </c>
      <c r="AO9" s="1238">
        <v>26.76</v>
      </c>
      <c r="AP9" s="1238">
        <v>25.85</v>
      </c>
      <c r="AQ9" s="1238">
        <v>26.9</v>
      </c>
      <c r="AR9" s="1238">
        <v>26</v>
      </c>
      <c r="AS9" s="1238">
        <v>27.05</v>
      </c>
      <c r="AT9" s="1238">
        <v>23.43</v>
      </c>
      <c r="AU9" s="1238">
        <v>24.48</v>
      </c>
      <c r="AV9" s="1238">
        <v>23.28</v>
      </c>
      <c r="AW9" s="1238">
        <v>24.33</v>
      </c>
      <c r="AX9" s="1238">
        <v>15.87</v>
      </c>
      <c r="AY9" s="1238">
        <v>16.600000000000001</v>
      </c>
      <c r="AZ9" s="1238">
        <v>15.73</v>
      </c>
      <c r="BA9" s="1238">
        <v>16.46</v>
      </c>
      <c r="BB9" s="1238">
        <v>15.59</v>
      </c>
      <c r="BC9" s="1238">
        <v>16.32</v>
      </c>
      <c r="BD9" s="150">
        <f>IF($C$2=22.5,J9,IF($C$2=23.5,L9,IF($C$2=24.5,N9,IF($C$2=25.5,P9,IF($C$2=26.5,R9,IF($C$2=27.5,T9,IF($C$2=28.5,V9,IF($C$2=29.5,X9,IF($C$2=30.5,Z9,IF($C$2=31.5,AB9,IF($C$2=32.5,AD9,IF($C$2=33.5,AF9))))))))))))</f>
        <v>24.71</v>
      </c>
      <c r="BE9" s="150">
        <f>IF($C$2=22.5,K9,IF($C$2=23.5,M9,IF($C$2=24.5,O9,IF($C$2=25.5,Q9,IF($C$2=26.5,S9,IF($C$2=27.5,U9,IF($C$2=28.5,W9,IF($C$2=29.5,Y9,IF($C$2=30.5,AA9,IF($C$2=31.5,AC9,IF($C$2=32.5,AE9,IF($C$2=33.5,AG9))))))))))))</f>
        <v>25.76</v>
      </c>
      <c r="BF9" s="92">
        <f>IF('1.ข้อมูล'!$Q$16=0,BD9,IF('1.ข้อมูล'!$Q$16=1,BE9,IF('1.ข้อมูล'!$Q$16=2,BE9,)))</f>
        <v>24.71</v>
      </c>
      <c r="BI9" s="46" t="s">
        <v>72</v>
      </c>
      <c r="BJ9" s="115" t="s">
        <v>147</v>
      </c>
      <c r="BK9" s="116" t="s">
        <v>148</v>
      </c>
      <c r="BL9" s="46" t="s">
        <v>108</v>
      </c>
      <c r="BM9" s="7" t="s">
        <v>109</v>
      </c>
      <c r="BN9" s="7" t="s">
        <v>110</v>
      </c>
      <c r="BO9" s="7" t="s">
        <v>111</v>
      </c>
      <c r="BP9" s="7"/>
      <c r="BQ9" s="7" t="s">
        <v>112</v>
      </c>
      <c r="BR9" s="47">
        <v>7</v>
      </c>
      <c r="BS9" s="86" t="s">
        <v>113</v>
      </c>
      <c r="BT9" s="88" t="s">
        <v>147</v>
      </c>
      <c r="BU9" s="84" t="s">
        <v>149</v>
      </c>
    </row>
    <row r="10" spans="2:74">
      <c r="B10" s="148">
        <v>6</v>
      </c>
      <c r="C10" s="74">
        <f>IF($C$2=22.5,'S3'!A10,IF($C$2=23.5,'S3'!B10,IF($C$2=24.5,'S3'!C10,IF($C$2=25.5,'S3'!D10,IF($C$2=26.5,'S3'!E10,IF($C$2=27.5,'S3'!F10,IF($C$2=28.5,'S3'!G10,IF($C$2=29.5,'S3'!H10,IF($C$2=30.5,'S3'!I10,IF($C$2=31.5,'S3'!J10,IF($C$2=32.5,'S3'!K10,IF($C$2=33.5,'S3'!L10))))))))))))</f>
        <v>17.309999999999999</v>
      </c>
      <c r="D10" s="74">
        <f t="shared" si="1"/>
        <v>24.23</v>
      </c>
      <c r="E10" s="74">
        <f>IF($E$2=22.5,'S3'!Y10,IF($E$2=23.5,'S3'!Z10,IF($E$2=24.5,'S3'!AA10,IF($E$2=25.5,'S3'!AB10,IF($E$2=26.5,'S3'!AC10,IF($E$2=27.5,'S3'!AD10,IF($E$2=28.5,'S3'!AE10,IF($E$2=29.5,'S3'!AF10,IF($E$2=30.5,'S3'!AG10,IF($E$2=31.5,'S3'!AH10,IF($E$2=32.5,'S3'!AI10,IF($E$2=33.5,'S3'!AJ10))))))))))))</f>
        <v>11.43</v>
      </c>
      <c r="F10" s="74">
        <f t="shared" si="2"/>
        <v>16</v>
      </c>
      <c r="H10" s="24" t="s">
        <v>78</v>
      </c>
      <c r="I10" s="23" t="s">
        <v>77</v>
      </c>
      <c r="J10" s="97">
        <v>81.11</v>
      </c>
      <c r="K10" s="98">
        <v>87.54</v>
      </c>
      <c r="L10" s="97">
        <v>81.88</v>
      </c>
      <c r="M10" s="98">
        <v>88.31</v>
      </c>
      <c r="N10" s="97">
        <v>82.66</v>
      </c>
      <c r="O10" s="98">
        <v>89.09</v>
      </c>
      <c r="P10" s="1235">
        <v>83.44</v>
      </c>
      <c r="Q10" s="1236">
        <v>89.87</v>
      </c>
      <c r="R10" s="1235">
        <v>84.22</v>
      </c>
      <c r="S10" s="1236">
        <v>90.65</v>
      </c>
      <c r="T10" s="1235">
        <v>84.99</v>
      </c>
      <c r="U10" s="1236">
        <v>91.42</v>
      </c>
      <c r="V10" s="1235">
        <v>85.77</v>
      </c>
      <c r="W10" s="1236">
        <v>92.2</v>
      </c>
      <c r="X10" s="1235">
        <v>86.55</v>
      </c>
      <c r="Y10" s="1236">
        <v>92.98</v>
      </c>
      <c r="Z10" s="1236">
        <v>87.32</v>
      </c>
      <c r="AA10" s="1236">
        <v>93.75</v>
      </c>
      <c r="AB10" s="1236">
        <v>88.1</v>
      </c>
      <c r="AC10" s="1236">
        <v>94.53</v>
      </c>
      <c r="AD10" s="1237">
        <v>88.88</v>
      </c>
      <c r="AE10" s="1237">
        <v>95.31</v>
      </c>
      <c r="AF10" s="1237">
        <v>89.66</v>
      </c>
      <c r="AG10" s="1237">
        <v>96.09</v>
      </c>
      <c r="AH10" s="1237">
        <v>90.43</v>
      </c>
      <c r="AI10" s="1237">
        <v>96.86</v>
      </c>
      <c r="AJ10" s="1237">
        <v>91.21</v>
      </c>
      <c r="AK10" s="1237">
        <v>97.64</v>
      </c>
      <c r="AL10" s="1238">
        <v>91.99</v>
      </c>
      <c r="AM10" s="1238">
        <v>98.42</v>
      </c>
      <c r="AN10" s="1238">
        <v>92.77</v>
      </c>
      <c r="AO10" s="1238">
        <v>99.2</v>
      </c>
      <c r="AP10" s="1238">
        <v>93.54</v>
      </c>
      <c r="AQ10" s="1238">
        <v>99.97</v>
      </c>
      <c r="AR10" s="1238">
        <v>94.32</v>
      </c>
      <c r="AS10" s="1238">
        <v>100.75</v>
      </c>
      <c r="AT10" s="1238">
        <v>80.33</v>
      </c>
      <c r="AU10" s="1238">
        <v>86.76</v>
      </c>
      <c r="AV10" s="1238">
        <v>79.55</v>
      </c>
      <c r="AW10" s="1238">
        <v>85.98</v>
      </c>
      <c r="AX10" s="1238">
        <v>60.35</v>
      </c>
      <c r="AY10" s="1238">
        <v>65.13</v>
      </c>
      <c r="AZ10" s="1238">
        <v>64.349999999999994</v>
      </c>
      <c r="BA10" s="1238">
        <v>64.349999999999994</v>
      </c>
      <c r="BB10" s="1238">
        <v>58.8</v>
      </c>
      <c r="BC10" s="1238">
        <v>63.57</v>
      </c>
      <c r="BD10" s="150">
        <f>IF($C$2=22.5,J10,IF($C$2=23.5,L10,IF($C$2=24.5,N10,IF($C$2=25.5,P10,IF($C$2=26.5,R10,IF($C$2=27.5,T10,IF($C$2=28.5,V10,IF($C$2=29.5,X10,IF($C$2=30.5,Z10,IF($C$2=31.5,AB10,IF($C$2=32.5,AD10,IF($C$2=33.5,AF10))))))))))))</f>
        <v>87.32</v>
      </c>
      <c r="BE10" s="150">
        <f>IF($C$2=22.5,K10,IF($C$2=23.5,M10,IF($C$2=24.5,O10,IF($C$2=25.5,Q10,IF($C$2=26.5,S10,IF($C$2=27.5,U10,IF($C$2=28.5,W10,IF($C$2=29.5,Y10,IF($C$2=30.5,AA10,IF($C$2=31.5,AC10,IF($C$2=32.5,AE10,IF($C$2=33.5,AG10))))))))))))</f>
        <v>93.75</v>
      </c>
      <c r="BF10" s="92">
        <f>IF('1.ข้อมูล'!$Q$16=0,BD10,IF('1.ข้อมูล'!$Q$16=1,BE10,IF('1.ข้อมูล'!$Q$16=2,BE10,)))</f>
        <v>87.32</v>
      </c>
      <c r="BI10" s="48" t="e">
        <f>#REF!</f>
        <v>#REF!</v>
      </c>
      <c r="BJ10" s="33"/>
      <c r="BK10" s="117"/>
      <c r="BL10" s="48">
        <v>5</v>
      </c>
      <c r="BM10" s="49">
        <v>6</v>
      </c>
      <c r="BN10" s="90">
        <v>18.2361</v>
      </c>
      <c r="BO10" s="51">
        <f>-BM3/12*(BM6/100+(BM10+BM7-1)*BM4/100-(BM4+BM6)/100*(BM10+1)/2-(BM7-1))</f>
        <v>1.1666666666666667</v>
      </c>
      <c r="BP10" s="51">
        <v>5.5</v>
      </c>
      <c r="BQ10" s="50">
        <f>1+( BN10+BO10+BP10)/100</f>
        <v>1.2490276666666666</v>
      </c>
      <c r="BR10" s="132">
        <f>BR9/100+1</f>
        <v>1.07</v>
      </c>
      <c r="BS10" s="87">
        <f>BQ10*BR10</f>
        <v>1.3364596033333334</v>
      </c>
      <c r="BT10" s="138">
        <v>1.3532</v>
      </c>
      <c r="BU10" s="139">
        <v>1.3742000000000001</v>
      </c>
      <c r="BV10" s="137"/>
    </row>
    <row r="11" spans="2:74">
      <c r="B11" s="148">
        <v>7</v>
      </c>
      <c r="C11" s="74">
        <f>IF($C$2=22.5,'S3'!A11,IF($C$2=23.5,'S3'!B11,IF($C$2=24.5,'S3'!C11,IF($C$2=25.5,'S3'!D11,IF($C$2=26.5,'S3'!E11,IF($C$2=27.5,'S3'!F11,IF($C$2=28.5,'S3'!G11,IF($C$2=29.5,'S3'!H11,IF($C$2=30.5,'S3'!I11,IF($C$2=31.5,'S3'!J11,IF($C$2=32.5,'S3'!K11,IF($C$2=33.5,'S3'!L11))))))))))))</f>
        <v>19.14</v>
      </c>
      <c r="D11" s="74">
        <f t="shared" si="1"/>
        <v>26.8</v>
      </c>
      <c r="E11" s="74">
        <f>IF($E$2=22.5,'S3'!Y11,IF($E$2=23.5,'S3'!Z11,IF($E$2=24.5,'S3'!AA11,IF($E$2=25.5,'S3'!AB11,IF($E$2=26.5,'S3'!AC11,IF($E$2=27.5,'S3'!AD11,IF($E$2=28.5,'S3'!AE11,IF($E$2=29.5,'S3'!AF11,IF($E$2=30.5,'S3'!AG11,IF($E$2=31.5,'S3'!AH11,IF($E$2=32.5,'S3'!AI11,IF($E$2=33.5,'S3'!AJ11))))))))))))</f>
        <v>12.81</v>
      </c>
      <c r="F11" s="74">
        <f t="shared" si="2"/>
        <v>17.93</v>
      </c>
      <c r="H11" s="25" t="s">
        <v>81</v>
      </c>
      <c r="I11" s="26"/>
      <c r="J11" s="97"/>
      <c r="K11" s="98"/>
      <c r="L11" s="97"/>
      <c r="M11" s="98"/>
      <c r="N11" s="97"/>
      <c r="O11" s="98"/>
      <c r="P11" s="1235"/>
      <c r="Q11" s="1236"/>
      <c r="R11" s="1235"/>
      <c r="S11" s="1236"/>
      <c r="T11" s="1235"/>
      <c r="U11" s="1236"/>
      <c r="V11" s="1235"/>
      <c r="W11" s="1236"/>
      <c r="X11" s="1235"/>
      <c r="Y11" s="1236"/>
      <c r="Z11" s="1236"/>
      <c r="AA11" s="1236"/>
      <c r="AB11" s="1236"/>
      <c r="AC11" s="1236"/>
      <c r="AD11" s="1237"/>
      <c r="AE11" s="1237"/>
      <c r="AF11" s="1237"/>
      <c r="AG11" s="1237"/>
      <c r="AH11" s="1237"/>
      <c r="AI11" s="1237"/>
      <c r="AJ11" s="1237"/>
      <c r="AK11" s="1237"/>
      <c r="AL11" s="1238"/>
      <c r="AM11" s="1238"/>
      <c r="AN11" s="1238"/>
      <c r="AO11" s="1238"/>
      <c r="AP11" s="1238"/>
      <c r="AQ11" s="1238"/>
      <c r="AR11" s="1238"/>
      <c r="AS11" s="1238"/>
      <c r="AT11" s="1238"/>
      <c r="AU11" s="1238"/>
      <c r="AV11" s="1238"/>
      <c r="AW11" s="1238"/>
      <c r="AX11" s="1238"/>
      <c r="AY11" s="1238"/>
      <c r="AZ11" s="1238"/>
      <c r="BA11" s="1238"/>
      <c r="BB11" s="1238"/>
      <c r="BC11" s="1238"/>
      <c r="BD11" s="150"/>
      <c r="BE11" s="31"/>
      <c r="BF11" s="32"/>
      <c r="BI11" s="118" t="e">
        <f>BI10/1000000</f>
        <v>#REF!</v>
      </c>
      <c r="BJ11" s="33"/>
      <c r="BK11" s="117"/>
      <c r="BL11" s="48">
        <v>10</v>
      </c>
      <c r="BM11" s="49">
        <v>9</v>
      </c>
      <c r="BN11" s="90">
        <v>14.041</v>
      </c>
      <c r="BO11" s="52">
        <f>-BM3/12*(BM6/100+(BM11+BM7-1)*BM4/100-(BM4+BM6)/100*(BM11+1)/2-(BM7-1))</f>
        <v>1.1666666666666667</v>
      </c>
      <c r="BP11" s="53">
        <v>5.5</v>
      </c>
      <c r="BQ11" s="50">
        <f>1+( BN11+BO11+BP11)/100</f>
        <v>1.2070766666666666</v>
      </c>
      <c r="BR11" s="132">
        <f>BR9/100+1</f>
        <v>1.07</v>
      </c>
      <c r="BS11" s="87">
        <f t="shared" ref="BS11:BS20" si="3">BQ11*BR11</f>
        <v>1.2915720333333334</v>
      </c>
      <c r="BT11" s="141">
        <v>1.3081</v>
      </c>
      <c r="BU11" s="140">
        <v>1.3303</v>
      </c>
      <c r="BV11" s="137"/>
    </row>
    <row r="12" spans="2:74">
      <c r="B12" s="148">
        <v>8</v>
      </c>
      <c r="C12" s="74">
        <f>IF($C$2=22.5,'S3'!A12,IF($C$2=23.5,'S3'!B12,IF($C$2=24.5,'S3'!C12,IF($C$2=25.5,'S3'!D12,IF($C$2=26.5,'S3'!E12,IF($C$2=27.5,'S3'!F12,IF($C$2=28.5,'S3'!G12,IF($C$2=29.5,'S3'!H12,IF($C$2=30.5,'S3'!I12,IF($C$2=31.5,'S3'!J12,IF($C$2=32.5,'S3'!K12,IF($C$2=33.5,'S3'!L12))))))))))))</f>
        <v>21.21</v>
      </c>
      <c r="D12" s="74">
        <f t="shared" si="1"/>
        <v>29.69</v>
      </c>
      <c r="E12" s="74">
        <f>IF($E$2=22.5,'S3'!Y12,IF($E$2=23.5,'S3'!Z12,IF($E$2=24.5,'S3'!AA12,IF($E$2=25.5,'S3'!AB12,IF($E$2=26.5,'S3'!AC12,IF($E$2=27.5,'S3'!AD12,IF($E$2=28.5,'S3'!AE12,IF($E$2=29.5,'S3'!AF12,IF($E$2=30.5,'S3'!AG12,IF($E$2=31.5,'S3'!AH12,IF($E$2=32.5,'S3'!AI12,IF($E$2=33.5,'S3'!AJ12))))))))))))</f>
        <v>14.2</v>
      </c>
      <c r="F12" s="74">
        <f t="shared" si="2"/>
        <v>19.88</v>
      </c>
      <c r="H12" s="24" t="s">
        <v>82</v>
      </c>
      <c r="I12" s="27" t="s">
        <v>26</v>
      </c>
      <c r="J12" s="97">
        <v>10.130000000000001</v>
      </c>
      <c r="K12" s="98">
        <v>10.66</v>
      </c>
      <c r="L12" s="97">
        <v>10.23</v>
      </c>
      <c r="M12" s="98">
        <v>10.76</v>
      </c>
      <c r="N12" s="97">
        <v>10.33</v>
      </c>
      <c r="O12" s="98">
        <v>10.86</v>
      </c>
      <c r="P12" s="1235">
        <v>10.43</v>
      </c>
      <c r="Q12" s="1236">
        <v>10.96</v>
      </c>
      <c r="R12" s="1235">
        <v>10.53</v>
      </c>
      <c r="S12" s="1236">
        <v>11.06</v>
      </c>
      <c r="T12" s="1235">
        <v>10.63</v>
      </c>
      <c r="U12" s="1236">
        <v>11.16</v>
      </c>
      <c r="V12" s="1235">
        <v>10.74</v>
      </c>
      <c r="W12" s="1236">
        <v>11.27</v>
      </c>
      <c r="X12" s="1235">
        <v>10.84</v>
      </c>
      <c r="Y12" s="1236">
        <v>11.37</v>
      </c>
      <c r="Z12" s="1236">
        <v>10.94</v>
      </c>
      <c r="AA12" s="1236">
        <v>11.47</v>
      </c>
      <c r="AB12" s="1236">
        <v>11.04</v>
      </c>
      <c r="AC12" s="1236">
        <v>11.57</v>
      </c>
      <c r="AD12" s="1237">
        <v>11.14</v>
      </c>
      <c r="AE12" s="1237">
        <v>11.67</v>
      </c>
      <c r="AF12" s="1237">
        <v>11.24</v>
      </c>
      <c r="AG12" s="1237">
        <v>11.77</v>
      </c>
      <c r="AH12" s="1237">
        <v>11.34</v>
      </c>
      <c r="AI12" s="1237">
        <v>11.87</v>
      </c>
      <c r="AJ12" s="1237">
        <v>11.44</v>
      </c>
      <c r="AK12" s="1237">
        <v>11.97</v>
      </c>
      <c r="AL12" s="1238">
        <v>11.54</v>
      </c>
      <c r="AM12" s="1238">
        <v>12.07</v>
      </c>
      <c r="AN12" s="1238">
        <v>11.64</v>
      </c>
      <c r="AO12" s="1238">
        <v>12.17</v>
      </c>
      <c r="AP12" s="1238">
        <v>11.74</v>
      </c>
      <c r="AQ12" s="1238">
        <v>12.27</v>
      </c>
      <c r="AR12" s="1238">
        <v>11.84</v>
      </c>
      <c r="AS12" s="1238">
        <v>12.37</v>
      </c>
      <c r="AT12" s="1238">
        <v>10.029999999999999</v>
      </c>
      <c r="AU12" s="1238">
        <v>10.56</v>
      </c>
      <c r="AV12" s="1238">
        <v>9.93</v>
      </c>
      <c r="AW12" s="1238">
        <v>10.46</v>
      </c>
      <c r="AX12" s="1238">
        <v>7.52</v>
      </c>
      <c r="AY12" s="1238">
        <v>7.9</v>
      </c>
      <c r="AZ12" s="1238">
        <v>7.42</v>
      </c>
      <c r="BA12" s="1238">
        <v>7.8</v>
      </c>
      <c r="BB12" s="1238">
        <v>7.32</v>
      </c>
      <c r="BC12" s="1238">
        <v>7.7</v>
      </c>
      <c r="BD12" s="150">
        <f t="shared" ref="BD12:BE16" si="4">IF($C$2=22.5,J12,IF($C$2=23.5,L12,IF($C$2=24.5,N12,IF($C$2=25.5,P12,IF($C$2=26.5,R12,IF($C$2=27.5,T12,IF($C$2=28.5,V12,IF($C$2=29.5,X12,IF($C$2=30.5,Z12,IF($C$2=31.5,AB12,IF($C$2=32.5,AD12,IF($C$2=33.5,AF12))))))))))))</f>
        <v>10.94</v>
      </c>
      <c r="BE12" s="150">
        <f t="shared" si="4"/>
        <v>11.47</v>
      </c>
      <c r="BF12" s="92">
        <f>IF('1.ข้อมูล'!$Q$16=0,BD12,IF('1.ข้อมูล'!$Q$16=1,BE12,IF('1.ข้อมูล'!$Q$16=2,BE12,)))</f>
        <v>10.94</v>
      </c>
      <c r="BI12" s="119" t="e">
        <f>BI11/10</f>
        <v>#REF!</v>
      </c>
      <c r="BJ12" s="33"/>
      <c r="BK12" s="117"/>
      <c r="BL12" s="48">
        <v>20</v>
      </c>
      <c r="BM12" s="49">
        <v>12</v>
      </c>
      <c r="BN12" s="90">
        <v>9.7858000000000001</v>
      </c>
      <c r="BO12" s="52">
        <f>-BM3/12*(BM6/100+(BM12+BM7-1)*BM4/100-(BM4+BM6)/100*(BM12+1)/2-(BM7-1))</f>
        <v>1.1666666666666667</v>
      </c>
      <c r="BP12" s="53">
        <v>5.5</v>
      </c>
      <c r="BQ12" s="50">
        <f>1+( BN12+BO12+BP12)/100</f>
        <v>1.1645246666666667</v>
      </c>
      <c r="BR12" s="132">
        <f>BR9/100+1</f>
        <v>1.07</v>
      </c>
      <c r="BS12" s="87">
        <f t="shared" si="3"/>
        <v>1.2460413933333334</v>
      </c>
      <c r="BT12" s="141">
        <v>1.2605</v>
      </c>
      <c r="BU12" s="140">
        <v>1.2819</v>
      </c>
      <c r="BV12" s="137"/>
    </row>
    <row r="13" spans="2:74">
      <c r="B13" s="148">
        <v>9</v>
      </c>
      <c r="C13" s="74">
        <f>IF($C$2=22.5,'S3'!A13,IF($C$2=23.5,'S3'!B13,IF($C$2=24.5,'S3'!C13,IF($C$2=25.5,'S3'!D13,IF($C$2=26.5,'S3'!E13,IF($C$2=27.5,'S3'!F13,IF($C$2=28.5,'S3'!G13,IF($C$2=29.5,'S3'!H13,IF($C$2=30.5,'S3'!I13,IF($C$2=31.5,'S3'!J13,IF($C$2=32.5,'S3'!K13,IF($C$2=33.5,'S3'!L13))))))))))))</f>
        <v>23.7</v>
      </c>
      <c r="D13" s="74">
        <f t="shared" si="1"/>
        <v>33.18</v>
      </c>
      <c r="E13" s="74">
        <f>IF($E$2=22.5,'S3'!Y13,IF($E$2=23.5,'S3'!Z13,IF($E$2=24.5,'S3'!AA13,IF($E$2=25.5,'S3'!AB13,IF($E$2=26.5,'S3'!AC13,IF($E$2=27.5,'S3'!AD13,IF($E$2=28.5,'S3'!AE13,IF($E$2=29.5,'S3'!AF13,IF($E$2=30.5,'S3'!AG13,IF($E$2=31.5,'S3'!AH13,IF($E$2=32.5,'S3'!AI13,IF($E$2=33.5,'S3'!AJ13))))))))))))</f>
        <v>15.58</v>
      </c>
      <c r="F13" s="74">
        <f t="shared" si="2"/>
        <v>21.81</v>
      </c>
      <c r="H13" s="24" t="s">
        <v>83</v>
      </c>
      <c r="I13" s="27" t="s">
        <v>26</v>
      </c>
      <c r="J13" s="97">
        <v>13.16</v>
      </c>
      <c r="K13" s="98">
        <v>14.01</v>
      </c>
      <c r="L13" s="97">
        <v>13.28</v>
      </c>
      <c r="M13" s="98">
        <v>14.13</v>
      </c>
      <c r="N13" s="97">
        <v>13.41</v>
      </c>
      <c r="O13" s="98">
        <v>14.26</v>
      </c>
      <c r="P13" s="1235">
        <v>13.53</v>
      </c>
      <c r="Q13" s="1236">
        <v>14.38</v>
      </c>
      <c r="R13" s="1235">
        <v>13.66</v>
      </c>
      <c r="S13" s="1236">
        <v>14.51</v>
      </c>
      <c r="T13" s="1235">
        <v>13.78</v>
      </c>
      <c r="U13" s="1236">
        <v>14.63</v>
      </c>
      <c r="V13" s="1235">
        <v>13.9</v>
      </c>
      <c r="W13" s="1236">
        <v>14.75</v>
      </c>
      <c r="X13" s="1235">
        <v>14.03</v>
      </c>
      <c r="Y13" s="1236">
        <v>14.88</v>
      </c>
      <c r="Z13" s="1236">
        <v>14.15</v>
      </c>
      <c r="AA13" s="1236">
        <v>15</v>
      </c>
      <c r="AB13" s="1236">
        <v>14.27</v>
      </c>
      <c r="AC13" s="1236">
        <v>15.12</v>
      </c>
      <c r="AD13" s="1237">
        <v>14.4</v>
      </c>
      <c r="AE13" s="1237">
        <v>15.25</v>
      </c>
      <c r="AF13" s="1237">
        <v>14.52</v>
      </c>
      <c r="AG13" s="1237">
        <v>15.37</v>
      </c>
      <c r="AH13" s="1237">
        <v>14.65</v>
      </c>
      <c r="AI13" s="1237">
        <v>15.5</v>
      </c>
      <c r="AJ13" s="1237">
        <v>14.77</v>
      </c>
      <c r="AK13" s="1237">
        <v>15.62</v>
      </c>
      <c r="AL13" s="1238">
        <v>14.89</v>
      </c>
      <c r="AM13" s="1238">
        <v>15.74</v>
      </c>
      <c r="AN13" s="1238">
        <v>15.02</v>
      </c>
      <c r="AO13" s="1238">
        <v>15.87</v>
      </c>
      <c r="AP13" s="1238">
        <v>15.14</v>
      </c>
      <c r="AQ13" s="1238">
        <v>15.99</v>
      </c>
      <c r="AR13" s="1238">
        <v>15.26</v>
      </c>
      <c r="AS13" s="1238">
        <v>16.11</v>
      </c>
      <c r="AT13" s="1238">
        <v>13.04</v>
      </c>
      <c r="AU13" s="1238">
        <v>13.89</v>
      </c>
      <c r="AV13" s="1238">
        <v>12.91</v>
      </c>
      <c r="AW13" s="1238">
        <v>13.76</v>
      </c>
      <c r="AX13" s="1238">
        <v>9.7799999999999994</v>
      </c>
      <c r="AY13" s="1238">
        <v>10.4</v>
      </c>
      <c r="AZ13" s="1238">
        <v>9.66</v>
      </c>
      <c r="BA13" s="1238">
        <v>10.27</v>
      </c>
      <c r="BB13" s="1238">
        <v>9.5299999999999994</v>
      </c>
      <c r="BC13" s="1238">
        <v>10.15</v>
      </c>
      <c r="BD13" s="150">
        <f t="shared" si="4"/>
        <v>14.15</v>
      </c>
      <c r="BE13" s="150">
        <f t="shared" si="4"/>
        <v>15</v>
      </c>
      <c r="BF13" s="92">
        <f>IF('1.ข้อมูล'!$Q$16=0,BD13,IF('1.ข้อมูล'!$Q$16=1,BE13,IF('1.ข้อมูล'!$Q$16=2,BE13,)))</f>
        <v>14.15</v>
      </c>
      <c r="BI13" s="48" t="e">
        <f>IF(BI12&gt;=1,((ROUND(BI12-0.5,0))*10),5)</f>
        <v>#REF!</v>
      </c>
      <c r="BJ13" s="33"/>
      <c r="BK13" s="117"/>
      <c r="BL13" s="48">
        <v>30</v>
      </c>
      <c r="BM13" s="49">
        <v>12</v>
      </c>
      <c r="BN13" s="90">
        <v>6.9081999999999999</v>
      </c>
      <c r="BO13" s="52">
        <f>-BM3/12*(BM6/100+(BM13+BM7-1)*BM4/100-(BM4+BM6)/100*(BM13+1)/2-(BM7-1))</f>
        <v>1.1666666666666667</v>
      </c>
      <c r="BP13" s="53">
        <v>5.5</v>
      </c>
      <c r="BQ13" s="50">
        <f t="shared" ref="BQ13:BQ20" si="5">1+( BN13+BO13+BP13)/100</f>
        <v>1.1357486666666667</v>
      </c>
      <c r="BR13" s="132">
        <f>BR9/100+1</f>
        <v>1.07</v>
      </c>
      <c r="BS13" s="87">
        <f t="shared" si="3"/>
        <v>1.2152510733333335</v>
      </c>
      <c r="BT13" s="141">
        <v>1.2271000000000001</v>
      </c>
      <c r="BU13" s="140">
        <v>1.246</v>
      </c>
      <c r="BV13" s="137"/>
    </row>
    <row r="14" spans="2:74">
      <c r="B14" s="148">
        <v>10</v>
      </c>
      <c r="C14" s="74">
        <f>IF($C$2=22.5,'S3'!A14,IF($C$2=23.5,'S3'!B14,IF($C$2=24.5,'S3'!C14,IF($C$2=25.5,'S3'!D14,IF($C$2=26.5,'S3'!E14,IF($C$2=27.5,'S3'!F14,IF($C$2=28.5,'S3'!G14,IF($C$2=29.5,'S3'!H14,IF($C$2=30.5,'S3'!I14,IF($C$2=31.5,'S3'!J14,IF($C$2=32.5,'S3'!K14,IF($C$2=33.5,'S3'!L14))))))))))))</f>
        <v>26.2</v>
      </c>
      <c r="D14" s="74">
        <f t="shared" si="1"/>
        <v>36.68</v>
      </c>
      <c r="E14" s="74">
        <f>IF($E$2=22.5,'S3'!Y14,IF($E$2=23.5,'S3'!Z14,IF($E$2=24.5,'S3'!AA14,IF($E$2=25.5,'S3'!AB14,IF($E$2=26.5,'S3'!AC14,IF($E$2=27.5,'S3'!AD14,IF($E$2=28.5,'S3'!AE14,IF($E$2=29.5,'S3'!AF14,IF($E$2=30.5,'S3'!AG14,IF($E$2=31.5,'S3'!AH14,IF($E$2=32.5,'S3'!AI14,IF($E$2=33.5,'S3'!AJ14))))))))))))</f>
        <v>16.97</v>
      </c>
      <c r="F14" s="74">
        <f t="shared" si="2"/>
        <v>23.76</v>
      </c>
      <c r="H14" s="24" t="s">
        <v>84</v>
      </c>
      <c r="I14" s="27" t="s">
        <v>26</v>
      </c>
      <c r="J14" s="97">
        <v>10.58</v>
      </c>
      <c r="K14" s="98">
        <v>11.02</v>
      </c>
      <c r="L14" s="97">
        <v>10.68</v>
      </c>
      <c r="M14" s="98">
        <v>11.12</v>
      </c>
      <c r="N14" s="97">
        <v>10.78</v>
      </c>
      <c r="O14" s="98">
        <v>11.22</v>
      </c>
      <c r="P14" s="1235">
        <v>10.87</v>
      </c>
      <c r="Q14" s="1236">
        <v>11.31</v>
      </c>
      <c r="R14" s="1235">
        <v>10.97</v>
      </c>
      <c r="S14" s="1236">
        <v>11.41</v>
      </c>
      <c r="T14" s="1235">
        <v>11.07</v>
      </c>
      <c r="U14" s="1236">
        <v>11.51</v>
      </c>
      <c r="V14" s="1235">
        <v>11.17</v>
      </c>
      <c r="W14" s="1236">
        <v>11.61</v>
      </c>
      <c r="X14" s="1235">
        <v>11.26</v>
      </c>
      <c r="Y14" s="1236">
        <v>11.7</v>
      </c>
      <c r="Z14" s="1236">
        <v>11.36</v>
      </c>
      <c r="AA14" s="1236">
        <v>11.8</v>
      </c>
      <c r="AB14" s="1236">
        <v>11.46</v>
      </c>
      <c r="AC14" s="1236">
        <v>11.9</v>
      </c>
      <c r="AD14" s="1237">
        <v>11.56</v>
      </c>
      <c r="AE14" s="1237">
        <v>12</v>
      </c>
      <c r="AF14" s="1237">
        <v>11.66</v>
      </c>
      <c r="AG14" s="1237">
        <v>12.1</v>
      </c>
      <c r="AH14" s="1237">
        <v>11.75</v>
      </c>
      <c r="AI14" s="1237">
        <v>12.19</v>
      </c>
      <c r="AJ14" s="1237">
        <v>11.85</v>
      </c>
      <c r="AK14" s="1237">
        <v>12.29</v>
      </c>
      <c r="AL14" s="1238">
        <v>11.95</v>
      </c>
      <c r="AM14" s="1238">
        <v>12.39</v>
      </c>
      <c r="AN14" s="1238">
        <v>12.05</v>
      </c>
      <c r="AO14" s="1238">
        <v>12.49</v>
      </c>
      <c r="AP14" s="1238">
        <v>12.14</v>
      </c>
      <c r="AQ14" s="1238">
        <v>12.58</v>
      </c>
      <c r="AR14" s="1238">
        <v>12.24</v>
      </c>
      <c r="AS14" s="1238">
        <v>12.68</v>
      </c>
      <c r="AT14" s="1238">
        <v>10.48</v>
      </c>
      <c r="AU14" s="1238">
        <v>10.92</v>
      </c>
      <c r="AV14" s="1238">
        <v>10.39</v>
      </c>
      <c r="AW14" s="1238">
        <v>10.83</v>
      </c>
      <c r="AX14" s="1238">
        <v>7.93</v>
      </c>
      <c r="AY14" s="1238">
        <v>8.24</v>
      </c>
      <c r="AZ14" s="1238">
        <v>7.83</v>
      </c>
      <c r="BA14" s="1238">
        <v>8.14</v>
      </c>
      <c r="BB14" s="1238">
        <v>7.73</v>
      </c>
      <c r="BC14" s="1238">
        <v>8.0399999999999991</v>
      </c>
      <c r="BD14" s="150">
        <f t="shared" si="4"/>
        <v>11.36</v>
      </c>
      <c r="BE14" s="150">
        <f t="shared" si="4"/>
        <v>11.8</v>
      </c>
      <c r="BF14" s="92">
        <f>IF('1.ข้อมูล'!$Q$16=0,BD14,IF('1.ข้อมูล'!$Q$16=1,BE14,IF('1.ข้อมูล'!$Q$16=2,BE14,)))</f>
        <v>11.36</v>
      </c>
      <c r="BI14" s="48" t="e">
        <f>(ROUND(BI12+0.5,0))*10</f>
        <v>#REF!</v>
      </c>
      <c r="BJ14" s="33"/>
      <c r="BK14" s="117"/>
      <c r="BL14" s="48">
        <v>40</v>
      </c>
      <c r="BM14" s="49">
        <v>16</v>
      </c>
      <c r="BN14" s="90">
        <v>6.9898999999999996</v>
      </c>
      <c r="BO14" s="52">
        <f>-BM3/12*(BM6/100+(BM14+BM7-1)*BM4/100-(BM4+BM6)/100*(BM14+1)/2-(BM7-1))</f>
        <v>1.1666666666666667</v>
      </c>
      <c r="BP14" s="53">
        <v>5</v>
      </c>
      <c r="BQ14" s="50">
        <f t="shared" si="5"/>
        <v>1.1315656666666667</v>
      </c>
      <c r="BR14" s="132">
        <f>BR9/100+1</f>
        <v>1.07</v>
      </c>
      <c r="BS14" s="87">
        <f t="shared" si="3"/>
        <v>1.2107752633333335</v>
      </c>
      <c r="BT14" s="141">
        <v>1.2228000000000001</v>
      </c>
      <c r="BU14" s="140">
        <v>1.2437</v>
      </c>
      <c r="BV14" s="137"/>
    </row>
    <row r="15" spans="2:74">
      <c r="B15" s="148">
        <v>11</v>
      </c>
      <c r="C15" s="74">
        <f>IF($C$2=22.5,'S3'!A15,IF($C$2=23.5,'S3'!B15,IF($C$2=24.5,'S3'!C15,IF($C$2=25.5,'S3'!D15,IF($C$2=26.5,'S3'!E15,IF($C$2=27.5,'S3'!F15,IF($C$2=28.5,'S3'!G15,IF($C$2=29.5,'S3'!H15,IF($C$2=30.5,'S3'!I15,IF($C$2=31.5,'S3'!J15,IF($C$2=32.5,'S3'!K15,IF($C$2=33.5,'S3'!L15))))))))))))</f>
        <v>28.69</v>
      </c>
      <c r="D15" s="74">
        <f t="shared" si="1"/>
        <v>40.17</v>
      </c>
      <c r="E15" s="74">
        <f>IF($E$2=22.5,'S3'!Y15,IF($E$2=23.5,'S3'!Z15,IF($E$2=24.5,'S3'!AA15,IF($E$2=25.5,'S3'!AB15,IF($E$2=26.5,'S3'!AC15,IF($E$2=27.5,'S3'!AD15,IF($E$2=28.5,'S3'!AE15,IF($E$2=29.5,'S3'!AF15,IF($E$2=30.5,'S3'!AG15,IF($E$2=31.5,'S3'!AH15,IF($E$2=32.5,'S3'!AI15,IF($E$2=33.5,'S3'!AJ15))))))))))))</f>
        <v>18.350000000000001</v>
      </c>
      <c r="F15" s="74">
        <f t="shared" si="2"/>
        <v>25.69</v>
      </c>
      <c r="H15" s="25" t="s">
        <v>85</v>
      </c>
      <c r="I15" s="27" t="s">
        <v>26</v>
      </c>
      <c r="J15" s="97">
        <v>6.25</v>
      </c>
      <c r="K15" s="98">
        <v>6.41</v>
      </c>
      <c r="L15" s="97">
        <v>6.38</v>
      </c>
      <c r="M15" s="98">
        <v>6.54</v>
      </c>
      <c r="N15" s="97">
        <v>6.51</v>
      </c>
      <c r="O15" s="98">
        <v>6.67</v>
      </c>
      <c r="P15" s="1235">
        <v>6.63</v>
      </c>
      <c r="Q15" s="1236">
        <v>6.79</v>
      </c>
      <c r="R15" s="1235">
        <v>6.76</v>
      </c>
      <c r="S15" s="1236">
        <v>6.92</v>
      </c>
      <c r="T15" s="1235">
        <v>6.89</v>
      </c>
      <c r="U15" s="1236">
        <v>7.05</v>
      </c>
      <c r="V15" s="1235">
        <v>7.02</v>
      </c>
      <c r="W15" s="1236">
        <v>7.18</v>
      </c>
      <c r="X15" s="1235">
        <v>7.15</v>
      </c>
      <c r="Y15" s="1236">
        <v>7.31</v>
      </c>
      <c r="Z15" s="1236">
        <v>7.28</v>
      </c>
      <c r="AA15" s="1236">
        <v>7.44</v>
      </c>
      <c r="AB15" s="1236">
        <v>7.41</v>
      </c>
      <c r="AC15" s="1236">
        <v>7.57</v>
      </c>
      <c r="AD15" s="1237">
        <v>7.54</v>
      </c>
      <c r="AE15" s="1237">
        <v>7.7</v>
      </c>
      <c r="AF15" s="1237">
        <v>7.67</v>
      </c>
      <c r="AG15" s="1237">
        <v>7.83</v>
      </c>
      <c r="AH15" s="1237">
        <v>7.79</v>
      </c>
      <c r="AI15" s="1237">
        <v>7.95</v>
      </c>
      <c r="AJ15" s="1237">
        <v>7.92</v>
      </c>
      <c r="AK15" s="1237">
        <v>8.08</v>
      </c>
      <c r="AL15" s="1238">
        <v>8.0500000000000007</v>
      </c>
      <c r="AM15" s="1238">
        <v>8.2100000000000009</v>
      </c>
      <c r="AN15" s="1238">
        <v>8.18</v>
      </c>
      <c r="AO15" s="1238">
        <v>8.34</v>
      </c>
      <c r="AP15" s="1238">
        <v>8.31</v>
      </c>
      <c r="AQ15" s="1238">
        <v>8.4700000000000006</v>
      </c>
      <c r="AR15" s="1238">
        <v>8.44</v>
      </c>
      <c r="AS15" s="1238">
        <v>8.6</v>
      </c>
      <c r="AT15" s="1238">
        <v>6.12</v>
      </c>
      <c r="AU15" s="1238">
        <v>6.28</v>
      </c>
      <c r="AV15" s="1238">
        <v>5.99</v>
      </c>
      <c r="AW15" s="1238">
        <v>6.15</v>
      </c>
      <c r="AX15" s="1238">
        <v>5.09</v>
      </c>
      <c r="AY15" s="1238">
        <v>5.23</v>
      </c>
      <c r="AZ15" s="1238">
        <v>4.96</v>
      </c>
      <c r="BA15" s="1238">
        <v>5.0999999999999996</v>
      </c>
      <c r="BB15" s="1238">
        <v>4.84</v>
      </c>
      <c r="BC15" s="1238">
        <v>4.97</v>
      </c>
      <c r="BD15" s="150">
        <f t="shared" si="4"/>
        <v>7.28</v>
      </c>
      <c r="BE15" s="150">
        <f t="shared" si="4"/>
        <v>7.44</v>
      </c>
      <c r="BF15" s="92">
        <f>IF('1.ข้อมูล'!$Q$16=0,BD15,IF('1.ข้อมูล'!$Q$16=1,BE15,IF('1.ข้อมูล'!$Q$16=2,BE15,)))</f>
        <v>7.28</v>
      </c>
      <c r="BI15" s="119" t="e">
        <f>VLOOKUP(BI13,BL10:BS20,8)</f>
        <v>#REF!</v>
      </c>
      <c r="BJ15" s="87" t="e">
        <f>VLOOKUP(BI13,BL10:BT20,9)</f>
        <v>#REF!</v>
      </c>
      <c r="BK15" s="120" t="e">
        <f>VLOOKUP(BI13,BL10:BU20,10)</f>
        <v>#REF!</v>
      </c>
      <c r="BL15" s="48">
        <v>50</v>
      </c>
      <c r="BM15" s="49">
        <v>18</v>
      </c>
      <c r="BN15" s="90">
        <v>6.4551999999999996</v>
      </c>
      <c r="BO15" s="52">
        <f>-BM3/12*(BM6/100+(BM15+BM7-1)*BM4/100-(BM4+BM6)/100*(BM15+1)/2-(BM7-1))</f>
        <v>1.1666666666666667</v>
      </c>
      <c r="BP15" s="53">
        <v>5</v>
      </c>
      <c r="BQ15" s="50">
        <f t="shared" si="5"/>
        <v>1.1262186666666667</v>
      </c>
      <c r="BR15" s="132">
        <f>BR9/100+1</f>
        <v>1.07</v>
      </c>
      <c r="BS15" s="87">
        <f t="shared" si="3"/>
        <v>1.2050539733333334</v>
      </c>
      <c r="BT15" s="141">
        <v>1.2163999999999999</v>
      </c>
      <c r="BU15" s="140">
        <v>1.2376</v>
      </c>
      <c r="BV15" s="137"/>
    </row>
    <row r="16" spans="2:74">
      <c r="B16" s="148">
        <v>12</v>
      </c>
      <c r="C16" s="74">
        <f>IF($C$2=22.5,'S3'!A16,IF($C$2=23.5,'S3'!B16,IF($C$2=24.5,'S3'!C16,IF($C$2=25.5,'S3'!D16,IF($C$2=26.5,'S3'!E16,IF($C$2=27.5,'S3'!F16,IF($C$2=28.5,'S3'!G16,IF($C$2=29.5,'S3'!H16,IF($C$2=30.5,'S3'!I16,IF($C$2=31.5,'S3'!J16,IF($C$2=32.5,'S3'!K16,IF($C$2=33.5,'S3'!L16))))))))))))</f>
        <v>31.18</v>
      </c>
      <c r="D16" s="74">
        <f t="shared" si="1"/>
        <v>43.65</v>
      </c>
      <c r="E16" s="74">
        <f>IF($E$2=22.5,'S3'!Y16,IF($E$2=23.5,'S3'!Z16,IF($E$2=24.5,'S3'!AA16,IF($E$2=25.5,'S3'!AB16,IF($E$2=26.5,'S3'!AC16,IF($E$2=27.5,'S3'!AD16,IF($E$2=28.5,'S3'!AE16,IF($E$2=29.5,'S3'!AF16,IF($E$2=30.5,'S3'!AG16,IF($E$2=31.5,'S3'!AH16,IF($E$2=32.5,'S3'!AI16,IF($E$2=33.5,'S3'!AJ16))))))))))))</f>
        <v>19.739999999999998</v>
      </c>
      <c r="F16" s="74">
        <f t="shared" si="2"/>
        <v>27.64</v>
      </c>
      <c r="H16" s="25" t="s">
        <v>86</v>
      </c>
      <c r="I16" s="27" t="s">
        <v>26</v>
      </c>
      <c r="J16" s="97">
        <v>6.1</v>
      </c>
      <c r="K16" s="98">
        <v>6.32</v>
      </c>
      <c r="L16" s="97">
        <v>6.22</v>
      </c>
      <c r="M16" s="98">
        <v>6.44</v>
      </c>
      <c r="N16" s="97">
        <v>6.34</v>
      </c>
      <c r="O16" s="98">
        <v>6.56</v>
      </c>
      <c r="P16" s="1235">
        <v>6.45</v>
      </c>
      <c r="Q16" s="1236">
        <v>6.67</v>
      </c>
      <c r="R16" s="1235">
        <v>6.57</v>
      </c>
      <c r="S16" s="1236">
        <v>6.79</v>
      </c>
      <c r="T16" s="1235">
        <v>6.69</v>
      </c>
      <c r="U16" s="1236">
        <v>6.91</v>
      </c>
      <c r="V16" s="1235">
        <v>6.81</v>
      </c>
      <c r="W16" s="1236">
        <v>7.03</v>
      </c>
      <c r="X16" s="1235">
        <v>6.93</v>
      </c>
      <c r="Y16" s="1236">
        <v>7.15</v>
      </c>
      <c r="Z16" s="1236">
        <v>7.05</v>
      </c>
      <c r="AA16" s="1236">
        <v>7.27</v>
      </c>
      <c r="AB16" s="1236">
        <v>7.17</v>
      </c>
      <c r="AC16" s="1236">
        <v>7.39</v>
      </c>
      <c r="AD16" s="1237">
        <v>7.29</v>
      </c>
      <c r="AE16" s="1237">
        <v>7.51</v>
      </c>
      <c r="AF16" s="1237">
        <v>7.41</v>
      </c>
      <c r="AG16" s="1237">
        <v>7.63</v>
      </c>
      <c r="AH16" s="1237">
        <v>7.53</v>
      </c>
      <c r="AI16" s="1237">
        <v>7.75</v>
      </c>
      <c r="AJ16" s="1237">
        <v>7.65</v>
      </c>
      <c r="AK16" s="1237">
        <v>7.87</v>
      </c>
      <c r="AL16" s="1238">
        <v>7.77</v>
      </c>
      <c r="AM16" s="1238">
        <v>7.99</v>
      </c>
      <c r="AN16" s="1238">
        <v>7.89</v>
      </c>
      <c r="AO16" s="1238">
        <v>8.11</v>
      </c>
      <c r="AP16" s="1238">
        <v>8.01</v>
      </c>
      <c r="AQ16" s="1238">
        <v>8.23</v>
      </c>
      <c r="AR16" s="1238">
        <v>8.1300000000000008</v>
      </c>
      <c r="AS16" s="1238">
        <v>8.35</v>
      </c>
      <c r="AT16" s="1238">
        <v>5.98</v>
      </c>
      <c r="AU16" s="1238">
        <v>6.2</v>
      </c>
      <c r="AV16" s="1238">
        <v>5.86</v>
      </c>
      <c r="AW16" s="1238">
        <v>6.08</v>
      </c>
      <c r="AX16" s="1238">
        <v>4.88</v>
      </c>
      <c r="AY16" s="1238">
        <v>5.08</v>
      </c>
      <c r="AZ16" s="1238">
        <v>4.7699999999999996</v>
      </c>
      <c r="BA16" s="1238">
        <v>4.96</v>
      </c>
      <c r="BB16" s="1238">
        <v>4.6500000000000004</v>
      </c>
      <c r="BC16" s="1238">
        <v>4.84</v>
      </c>
      <c r="BD16" s="150">
        <f t="shared" si="4"/>
        <v>7.05</v>
      </c>
      <c r="BE16" s="150">
        <f t="shared" si="4"/>
        <v>7.27</v>
      </c>
      <c r="BF16" s="92">
        <f>IF('1.ข้อมูล'!$Q$16=0,BD16,IF('1.ข้อมูล'!$Q$16=1,BE16,IF('1.ข้อมูล'!$Q$16=2,BE16,)))</f>
        <v>7.05</v>
      </c>
      <c r="BI16" s="119" t="e">
        <f>VLOOKUP(BI14,BL10:BS20,8)</f>
        <v>#REF!</v>
      </c>
      <c r="BJ16" s="87" t="e">
        <f>VLOOKUP(BI14,BL10:BT20,9)</f>
        <v>#REF!</v>
      </c>
      <c r="BK16" s="120" t="e">
        <f>VLOOKUP(BI14,BL10:BU20,10)</f>
        <v>#REF!</v>
      </c>
      <c r="BL16" s="48">
        <v>60</v>
      </c>
      <c r="BM16" s="49">
        <v>18</v>
      </c>
      <c r="BN16" s="90">
        <v>5.5918999999999999</v>
      </c>
      <c r="BO16" s="52">
        <f>-BM3/12*(BM6/100+(BM16+BM7-1)*BM4/100-(BM4+BM6)/100*(BM16+1)/2-(BM7-1))</f>
        <v>1.1666666666666667</v>
      </c>
      <c r="BP16" s="53">
        <v>5</v>
      </c>
      <c r="BQ16" s="50">
        <f t="shared" si="5"/>
        <v>1.1175856666666666</v>
      </c>
      <c r="BR16" s="132">
        <f>BR9/100+1</f>
        <v>1.07</v>
      </c>
      <c r="BS16" s="87">
        <f t="shared" si="3"/>
        <v>1.1958166633333334</v>
      </c>
      <c r="BT16" s="141">
        <v>1.206</v>
      </c>
      <c r="BU16" s="140">
        <v>1.226</v>
      </c>
      <c r="BV16" s="137"/>
    </row>
    <row r="17" spans="2:74">
      <c r="B17" s="148">
        <v>13</v>
      </c>
      <c r="C17" s="74">
        <f>IF($C$2=22.5,'S3'!A17,IF($C$2=23.5,'S3'!B17,IF($C$2=24.5,'S3'!C17,IF($C$2=25.5,'S3'!D17,IF($C$2=26.5,'S3'!E17,IF($C$2=27.5,'S3'!F17,IF($C$2=28.5,'S3'!G17,IF($C$2=29.5,'S3'!H17,IF($C$2=30.5,'S3'!I17,IF($C$2=31.5,'S3'!J17,IF($C$2=32.5,'S3'!K17,IF($C$2=33.5,'S3'!L17))))))))))))</f>
        <v>33.68</v>
      </c>
      <c r="D17" s="74">
        <f t="shared" si="1"/>
        <v>47.15</v>
      </c>
      <c r="E17" s="74">
        <f>IF($E$2=22.5,'S3'!Y17,IF($E$2=23.5,'S3'!Z17,IF($E$2=24.5,'S3'!AA17,IF($E$2=25.5,'S3'!AB17,IF($E$2=26.5,'S3'!AC17,IF($E$2=27.5,'S3'!AD17,IF($E$2=28.5,'S3'!AE17,IF($E$2=29.5,'S3'!AF17,IF($E$2=30.5,'S3'!AG17,IF($E$2=31.5,'S3'!AH17,IF($E$2=32.5,'S3'!AI17,IF($E$2=33.5,'S3'!AJ17))))))))))))</f>
        <v>21.12</v>
      </c>
      <c r="F17" s="74">
        <f t="shared" si="2"/>
        <v>29.57</v>
      </c>
      <c r="H17" s="25" t="s">
        <v>87</v>
      </c>
      <c r="I17" s="26"/>
      <c r="J17" s="100"/>
      <c r="K17" s="100"/>
      <c r="L17" s="100"/>
      <c r="M17" s="100"/>
      <c r="N17" s="100"/>
      <c r="O17" s="100"/>
      <c r="P17" s="1242"/>
      <c r="Q17" s="1242"/>
      <c r="R17" s="1242"/>
      <c r="S17" s="1242"/>
      <c r="T17" s="1242"/>
      <c r="U17" s="1242"/>
      <c r="V17" s="1242"/>
      <c r="W17" s="1242"/>
      <c r="X17" s="1242"/>
      <c r="Y17" s="1242"/>
      <c r="Z17" s="1242"/>
      <c r="AA17" s="1242"/>
      <c r="AB17" s="1242"/>
      <c r="AC17" s="1242"/>
      <c r="AD17" s="1243"/>
      <c r="AE17" s="1243"/>
      <c r="AF17" s="1243"/>
      <c r="AG17" s="1243"/>
      <c r="AH17" s="1243"/>
      <c r="AI17" s="1243"/>
      <c r="AJ17" s="1243"/>
      <c r="AK17" s="1243"/>
      <c r="AL17" s="1244"/>
      <c r="AM17" s="1244"/>
      <c r="AN17" s="1244"/>
      <c r="AO17" s="1244"/>
      <c r="AP17" s="1244"/>
      <c r="AQ17" s="1244"/>
      <c r="AR17" s="1244"/>
      <c r="AS17" s="1244"/>
      <c r="AT17" s="1244"/>
      <c r="AU17" s="1244"/>
      <c r="AV17" s="1244"/>
      <c r="AW17" s="1244"/>
      <c r="AX17" s="1244"/>
      <c r="AY17" s="1244"/>
      <c r="AZ17" s="1244"/>
      <c r="BA17" s="1244"/>
      <c r="BB17" s="1244"/>
      <c r="BC17" s="1244"/>
      <c r="BD17" s="9"/>
      <c r="BE17" s="9"/>
      <c r="BF17" s="9"/>
      <c r="BI17" s="121" t="e">
        <f>ROUND(IF(BI11&gt;5,BI15-((BI15-BI16)/(BI14-BI13)*(BI11-BI13)),BI15),4)</f>
        <v>#REF!</v>
      </c>
      <c r="BJ17" s="122" t="e">
        <f>ROUND(IF(BI11&gt;5,BJ15-((BJ15-BJ16)/(BI14-BI13)*(BI11-BI13)),BJ15),4)</f>
        <v>#REF!</v>
      </c>
      <c r="BK17" s="123" t="e">
        <f>ROUND(IF(BI11&gt;5,BK15-((BK15-BK16)/(BI14-BI13)*(BI11-BI13)),BK15),4)</f>
        <v>#REF!</v>
      </c>
      <c r="BL17" s="48">
        <v>70</v>
      </c>
      <c r="BM17" s="49">
        <v>19</v>
      </c>
      <c r="BN17" s="90">
        <v>5.4047999999999998</v>
      </c>
      <c r="BO17" s="52">
        <f>-BM3/12*(BM6/100+(BM17+BM7-1)*BM4/100-(BM4+BM6)/100*(BM17+1)/2-(BM7-1))</f>
        <v>1.1666666666666667</v>
      </c>
      <c r="BP17" s="53">
        <v>4.5</v>
      </c>
      <c r="BQ17" s="50">
        <f t="shared" si="5"/>
        <v>1.1107146666666667</v>
      </c>
      <c r="BR17" s="132">
        <f>BR9/100+1</f>
        <v>1.07</v>
      </c>
      <c r="BS17" s="87">
        <f t="shared" si="3"/>
        <v>1.1884646933333334</v>
      </c>
      <c r="BT17" s="141">
        <v>1.1982999999999999</v>
      </c>
      <c r="BU17" s="140">
        <v>1.2183999999999999</v>
      </c>
      <c r="BV17" s="137"/>
    </row>
    <row r="18" spans="2:74">
      <c r="B18" s="148">
        <v>14</v>
      </c>
      <c r="C18" s="74">
        <f>IF($C$2=22.5,'S3'!A18,IF($C$2=23.5,'S3'!B18,IF($C$2=24.5,'S3'!C18,IF($C$2=25.5,'S3'!D18,IF($C$2=26.5,'S3'!E18,IF($C$2=27.5,'S3'!F18,IF($C$2=28.5,'S3'!G18,IF($C$2=29.5,'S3'!H18,IF($C$2=30.5,'S3'!I18,IF($C$2=31.5,'S3'!J18,IF($C$2=32.5,'S3'!K18,IF($C$2=33.5,'S3'!L18))))))))))))</f>
        <v>36.17</v>
      </c>
      <c r="D18" s="74">
        <f t="shared" si="1"/>
        <v>50.64</v>
      </c>
      <c r="E18" s="74">
        <f>IF($E$2=22.5,'S3'!Y18,IF($E$2=23.5,'S3'!Z18,IF($E$2=24.5,'S3'!AA18,IF($E$2=25.5,'S3'!AB18,IF($E$2=26.5,'S3'!AC18,IF($E$2=27.5,'S3'!AD18,IF($E$2=28.5,'S3'!AE18,IF($E$2=29.5,'S3'!AF18,IF($E$2=30.5,'S3'!AG18,IF($E$2=31.5,'S3'!AH18,IF($E$2=32.5,'S3'!AI18,IF($E$2=33.5,'S3'!AJ18))))))))))))</f>
        <v>22.51</v>
      </c>
      <c r="F18" s="74">
        <f t="shared" si="2"/>
        <v>31.51</v>
      </c>
      <c r="H18" s="28" t="s">
        <v>152</v>
      </c>
      <c r="I18" s="27"/>
      <c r="J18" s="97"/>
      <c r="K18" s="98"/>
      <c r="L18" s="97"/>
      <c r="M18" s="98"/>
      <c r="N18" s="97"/>
      <c r="O18" s="98"/>
      <c r="P18" s="1235"/>
      <c r="Q18" s="1236"/>
      <c r="R18" s="1235"/>
      <c r="S18" s="1236"/>
      <c r="T18" s="1235"/>
      <c r="U18" s="1236"/>
      <c r="V18" s="1235"/>
      <c r="W18" s="1236"/>
      <c r="X18" s="1235"/>
      <c r="Y18" s="1236"/>
      <c r="Z18" s="1236"/>
      <c r="AA18" s="1236"/>
      <c r="AB18" s="1236"/>
      <c r="AC18" s="1236"/>
      <c r="AD18" s="1237"/>
      <c r="AE18" s="1237"/>
      <c r="AF18" s="1237"/>
      <c r="AG18" s="1237"/>
      <c r="AH18" s="1237"/>
      <c r="AI18" s="1237"/>
      <c r="AJ18" s="1237"/>
      <c r="AK18" s="1237"/>
      <c r="AL18" s="1238"/>
      <c r="AM18" s="1238"/>
      <c r="AN18" s="1238"/>
      <c r="AO18" s="1238"/>
      <c r="AP18" s="1238"/>
      <c r="AQ18" s="1238"/>
      <c r="AR18" s="1238"/>
      <c r="AS18" s="1238"/>
      <c r="AT18" s="1238"/>
      <c r="AU18" s="1238"/>
      <c r="AV18" s="1238"/>
      <c r="AW18" s="1238"/>
      <c r="AX18" s="1238"/>
      <c r="AY18" s="1238"/>
      <c r="AZ18" s="1238"/>
      <c r="BA18" s="1238"/>
      <c r="BB18" s="1238"/>
      <c r="BC18" s="1238"/>
      <c r="BD18" s="9"/>
      <c r="BE18" s="9"/>
      <c r="BF18" s="9"/>
      <c r="BI18" s="124"/>
      <c r="BJ18" s="125"/>
      <c r="BK18" s="126"/>
      <c r="BL18" s="48">
        <v>80</v>
      </c>
      <c r="BM18" s="49">
        <v>20</v>
      </c>
      <c r="BN18" s="90">
        <v>5.1508000000000003</v>
      </c>
      <c r="BO18" s="52">
        <f>-BM3/12*(BM6/100+(BM18+BM7-1)*BM4/100-(BM4+BM6)/100*(BM18+1)/2-(BM7-1))</f>
        <v>1.1666666666666667</v>
      </c>
      <c r="BP18" s="53">
        <v>4.5</v>
      </c>
      <c r="BQ18" s="50">
        <f t="shared" si="5"/>
        <v>1.1081746666666668</v>
      </c>
      <c r="BR18" s="132">
        <f>BR9/100+1</f>
        <v>1.07</v>
      </c>
      <c r="BS18" s="87">
        <f t="shared" si="3"/>
        <v>1.1857468933333335</v>
      </c>
      <c r="BT18" s="141">
        <v>1.1951000000000001</v>
      </c>
      <c r="BU18" s="140">
        <v>1.2152000000000001</v>
      </c>
      <c r="BV18" s="137"/>
    </row>
    <row r="19" spans="2:74">
      <c r="B19" s="148">
        <v>15</v>
      </c>
      <c r="C19" s="74">
        <f>IF($C$2=22.5,'S3'!A19,IF($C$2=23.5,'S3'!B19,IF($C$2=24.5,'S3'!C19,IF($C$2=25.5,'S3'!D19,IF($C$2=26.5,'S3'!E19,IF($C$2=27.5,'S3'!F19,IF($C$2=28.5,'S3'!G19,IF($C$2=29.5,'S3'!H19,IF($C$2=30.5,'S3'!I19,IF($C$2=31.5,'S3'!J19,IF($C$2=32.5,'S3'!K19,IF($C$2=33.5,'S3'!L19))))))))))))</f>
        <v>38.659999999999997</v>
      </c>
      <c r="D19" s="74">
        <f t="shared" si="1"/>
        <v>54.12</v>
      </c>
      <c r="E19" s="74">
        <f>IF($E$2=22.5,'S3'!Y19,IF($E$2=23.5,'S3'!Z19,IF($E$2=24.5,'S3'!AA19,IF($E$2=25.5,'S3'!AB19,IF($E$2=26.5,'S3'!AC19,IF($E$2=27.5,'S3'!AD19,IF($E$2=28.5,'S3'!AE19,IF($E$2=29.5,'S3'!AF19,IF($E$2=30.5,'S3'!AG19,IF($E$2=31.5,'S3'!AH19,IF($E$2=32.5,'S3'!AI19,IF($E$2=33.5,'S3'!AJ19))))))))))))</f>
        <v>23.95</v>
      </c>
      <c r="F19" s="74">
        <f t="shared" si="2"/>
        <v>33.53</v>
      </c>
      <c r="H19" s="28" t="s">
        <v>153</v>
      </c>
      <c r="I19" s="27" t="s">
        <v>26</v>
      </c>
      <c r="J19" s="97">
        <v>13.7</v>
      </c>
      <c r="K19" s="98">
        <v>14.41</v>
      </c>
      <c r="L19" s="97">
        <v>13.86</v>
      </c>
      <c r="M19" s="98">
        <v>14.57</v>
      </c>
      <c r="N19" s="97">
        <v>14.03</v>
      </c>
      <c r="O19" s="98">
        <v>14.74</v>
      </c>
      <c r="P19" s="1235">
        <v>14.19</v>
      </c>
      <c r="Q19" s="1236">
        <v>14.9</v>
      </c>
      <c r="R19" s="1235">
        <v>14.36</v>
      </c>
      <c r="S19" s="1236">
        <v>15.07</v>
      </c>
      <c r="T19" s="1235">
        <v>14.52</v>
      </c>
      <c r="U19" s="1236">
        <v>15.23</v>
      </c>
      <c r="V19" s="1235">
        <v>14.69</v>
      </c>
      <c r="W19" s="1236">
        <v>15.4</v>
      </c>
      <c r="X19" s="1235">
        <v>14.85</v>
      </c>
      <c r="Y19" s="1236">
        <v>15.56</v>
      </c>
      <c r="Z19" s="1236">
        <v>15.02</v>
      </c>
      <c r="AA19" s="1236">
        <v>15.73</v>
      </c>
      <c r="AB19" s="1236">
        <v>15.18</v>
      </c>
      <c r="AC19" s="1236">
        <v>15.89</v>
      </c>
      <c r="AD19" s="1237">
        <v>15.35</v>
      </c>
      <c r="AE19" s="1237">
        <v>16.059999999999999</v>
      </c>
      <c r="AF19" s="1237">
        <v>15.52</v>
      </c>
      <c r="AG19" s="1237">
        <v>16.23</v>
      </c>
      <c r="AH19" s="1237">
        <v>15.68</v>
      </c>
      <c r="AI19" s="1237">
        <v>16.39</v>
      </c>
      <c r="AJ19" s="1237">
        <v>15.85</v>
      </c>
      <c r="AK19" s="1237">
        <v>16.559999999999999</v>
      </c>
      <c r="AL19" s="1238">
        <v>16.010000000000002</v>
      </c>
      <c r="AM19" s="1238">
        <v>16.72</v>
      </c>
      <c r="AN19" s="1238">
        <v>16.18</v>
      </c>
      <c r="AO19" s="1238">
        <v>16.89</v>
      </c>
      <c r="AP19" s="1238">
        <v>16.34</v>
      </c>
      <c r="AQ19" s="1238">
        <v>17.05</v>
      </c>
      <c r="AR19" s="1238">
        <v>16.54</v>
      </c>
      <c r="AS19" s="1238">
        <v>17.22</v>
      </c>
      <c r="AT19" s="1238">
        <v>13.53</v>
      </c>
      <c r="AU19" s="1238">
        <v>14.24</v>
      </c>
      <c r="AV19" s="1238">
        <v>13.37</v>
      </c>
      <c r="AW19" s="1238">
        <v>14.08</v>
      </c>
      <c r="AX19" s="1238">
        <v>11.5</v>
      </c>
      <c r="AY19" s="1238">
        <v>12.14</v>
      </c>
      <c r="AZ19" s="1238">
        <v>11.33</v>
      </c>
      <c r="BA19" s="1238">
        <v>11.97</v>
      </c>
      <c r="BB19" s="1238">
        <v>11.17</v>
      </c>
      <c r="BC19" s="1238">
        <v>11.81</v>
      </c>
      <c r="BD19" s="150">
        <f t="shared" ref="BD19:BE21" si="6">IF($C$2=22.5,J19,IF($C$2=23.5,L19,IF($C$2=24.5,N19,IF($C$2=25.5,P19,IF($C$2=26.5,R19,IF($C$2=27.5,T19,IF($C$2=28.5,V19,IF($C$2=29.5,X19,IF($C$2=30.5,Z19,IF($C$2=31.5,AB19,IF($C$2=32.5,AD19,IF($C$2=33.5,AF19))))))))))))</f>
        <v>15.02</v>
      </c>
      <c r="BE19" s="150">
        <f t="shared" si="6"/>
        <v>15.73</v>
      </c>
      <c r="BF19" s="92">
        <f>IF('1.ข้อมูล'!$Q$16=0,BD19,IF('1.ข้อมูล'!$Q$16=1,BE19,IF('1.ข้อมูล'!$Q$16=2,BE19,)))</f>
        <v>15.02</v>
      </c>
      <c r="BI19" s="127"/>
      <c r="BJ19" s="24"/>
      <c r="BK19" s="128"/>
      <c r="BL19" s="48">
        <v>90</v>
      </c>
      <c r="BM19" s="49">
        <v>20</v>
      </c>
      <c r="BN19" s="90">
        <v>4.7691999999999997</v>
      </c>
      <c r="BO19" s="52">
        <f>-BM3/12*(BM6/100+(BM19+BM7-1)*BM4/100-(BM4+BM6)/100*(BM19+1)/2-(BM7-1))</f>
        <v>1.1666666666666667</v>
      </c>
      <c r="BP19" s="53">
        <v>4.5</v>
      </c>
      <c r="BQ19" s="50">
        <f t="shared" si="5"/>
        <v>1.1043586666666667</v>
      </c>
      <c r="BR19" s="132">
        <f>BR9/100+1</f>
        <v>1.07</v>
      </c>
      <c r="BS19" s="87">
        <f t="shared" si="3"/>
        <v>1.1816637733333335</v>
      </c>
      <c r="BT19" s="141">
        <v>1.1904999999999999</v>
      </c>
      <c r="BU19" s="140">
        <v>1.21</v>
      </c>
      <c r="BV19" s="137"/>
    </row>
    <row r="20" spans="2:74" ht="21" thickBot="1">
      <c r="B20" s="148">
        <v>16</v>
      </c>
      <c r="C20" s="74">
        <f>IF($C$2=22.5,'S3'!A20,IF($C$2=23.5,'S3'!B20,IF($C$2=24.5,'S3'!C20,IF($C$2=25.5,'S3'!D20,IF($C$2=26.5,'S3'!E20,IF($C$2=27.5,'S3'!F20,IF($C$2=28.5,'S3'!G20,IF($C$2=29.5,'S3'!H20,IF($C$2=30.5,'S3'!I20,IF($C$2=31.5,'S3'!J20,IF($C$2=32.5,'S3'!K20,IF($C$2=33.5,'S3'!L20))))))))))))</f>
        <v>41.16</v>
      </c>
      <c r="D20" s="74">
        <f t="shared" si="1"/>
        <v>57.62</v>
      </c>
      <c r="E20" s="74">
        <f>IF($E$2=22.5,'S3'!Y20,IF($E$2=23.5,'S3'!Z20,IF($E$2=24.5,'S3'!AA20,IF($E$2=25.5,'S3'!AB20,IF($E$2=26.5,'S3'!AC20,IF($E$2=27.5,'S3'!AD20,IF($E$2=28.5,'S3'!AE20,IF($E$2=29.5,'S3'!AF20,IF($E$2=30.5,'S3'!AG20,IF($E$2=31.5,'S3'!AH20,IF($E$2=32.5,'S3'!AI20,IF($E$2=33.5,'S3'!AJ20))))))))))))</f>
        <v>25.5</v>
      </c>
      <c r="F20" s="74">
        <f t="shared" si="2"/>
        <v>35.700000000000003</v>
      </c>
      <c r="H20" s="24" t="s">
        <v>154</v>
      </c>
      <c r="I20" s="27" t="s">
        <v>26</v>
      </c>
      <c r="J20" s="97">
        <v>10.86</v>
      </c>
      <c r="K20" s="98">
        <v>11.43</v>
      </c>
      <c r="L20" s="97">
        <v>10.97</v>
      </c>
      <c r="M20" s="98">
        <v>11.54</v>
      </c>
      <c r="N20" s="97">
        <v>11.08</v>
      </c>
      <c r="O20" s="98">
        <v>11.65</v>
      </c>
      <c r="P20" s="1235">
        <v>11.19</v>
      </c>
      <c r="Q20" s="1236">
        <v>11.76</v>
      </c>
      <c r="R20" s="1235">
        <v>11.3</v>
      </c>
      <c r="S20" s="1236">
        <v>11.87</v>
      </c>
      <c r="T20" s="1235">
        <v>11.41</v>
      </c>
      <c r="U20" s="1236">
        <v>11.98</v>
      </c>
      <c r="V20" s="1235">
        <v>11.52</v>
      </c>
      <c r="W20" s="1236">
        <v>12.09</v>
      </c>
      <c r="X20" s="1235">
        <v>11.63</v>
      </c>
      <c r="Y20" s="1236">
        <v>12.2</v>
      </c>
      <c r="Z20" s="1236">
        <v>11.74</v>
      </c>
      <c r="AA20" s="1236">
        <v>12.31</v>
      </c>
      <c r="AB20" s="1236">
        <v>11.85</v>
      </c>
      <c r="AC20" s="1236">
        <v>12.42</v>
      </c>
      <c r="AD20" s="1237">
        <v>11.96</v>
      </c>
      <c r="AE20" s="1237">
        <v>12.53</v>
      </c>
      <c r="AF20" s="1237">
        <v>12.07</v>
      </c>
      <c r="AG20" s="1237">
        <v>12.64</v>
      </c>
      <c r="AH20" s="1237">
        <v>12.18</v>
      </c>
      <c r="AI20" s="1237">
        <v>12.75</v>
      </c>
      <c r="AJ20" s="1237">
        <v>12.29</v>
      </c>
      <c r="AK20" s="1237">
        <v>12.86</v>
      </c>
      <c r="AL20" s="1238">
        <v>12.41</v>
      </c>
      <c r="AM20" s="1238">
        <v>12.98</v>
      </c>
      <c r="AN20" s="1238">
        <v>12.52</v>
      </c>
      <c r="AO20" s="1238">
        <v>13.09</v>
      </c>
      <c r="AP20" s="1238">
        <v>12.63</v>
      </c>
      <c r="AQ20" s="1238">
        <v>13.2</v>
      </c>
      <c r="AR20" s="1238">
        <v>12.74</v>
      </c>
      <c r="AS20" s="1238">
        <v>13.31</v>
      </c>
      <c r="AT20" s="1238">
        <v>10.75</v>
      </c>
      <c r="AU20" s="1238">
        <v>11.32</v>
      </c>
      <c r="AV20" s="1238">
        <v>10.64</v>
      </c>
      <c r="AW20" s="1238">
        <v>11.21</v>
      </c>
      <c r="AX20" s="1238">
        <v>9.17</v>
      </c>
      <c r="AY20" s="1238">
        <v>9.69</v>
      </c>
      <c r="AZ20" s="1238">
        <v>9.06</v>
      </c>
      <c r="BA20" s="1238">
        <v>9.58</v>
      </c>
      <c r="BB20" s="1238">
        <v>8.9499999999999993</v>
      </c>
      <c r="BC20" s="1238">
        <v>9.4700000000000006</v>
      </c>
      <c r="BD20" s="150">
        <f t="shared" si="6"/>
        <v>11.74</v>
      </c>
      <c r="BE20" s="150">
        <f t="shared" si="6"/>
        <v>12.31</v>
      </c>
      <c r="BF20" s="92">
        <f>IF('1.ข้อมูล'!$Q$16=0,BD20,IF('1.ข้อมูล'!$Q$16=1,BE20,IF('1.ข้อมูล'!$Q$16=2,BE20,)))</f>
        <v>11.74</v>
      </c>
      <c r="BI20" s="129"/>
      <c r="BJ20" s="130"/>
      <c r="BK20" s="131"/>
      <c r="BL20" s="46">
        <v>100</v>
      </c>
      <c r="BM20" s="7">
        <v>20</v>
      </c>
      <c r="BN20" s="91">
        <v>4.4638999999999998</v>
      </c>
      <c r="BO20" s="54">
        <f>-BM3/12*(BM6/100+(BM20+BM7-1)*BM4/100-(BM4+BM6)/100*(BM20+1)/2-(BM7-1))</f>
        <v>1.1666666666666667</v>
      </c>
      <c r="BP20" s="55">
        <v>4.5</v>
      </c>
      <c r="BQ20" s="56">
        <f t="shared" si="5"/>
        <v>1.1013056666666667</v>
      </c>
      <c r="BR20" s="133">
        <f>BR9/100+1</f>
        <v>1.07</v>
      </c>
      <c r="BS20" s="56">
        <f t="shared" si="3"/>
        <v>1.1783970633333334</v>
      </c>
      <c r="BT20" s="142">
        <v>1.1867000000000001</v>
      </c>
      <c r="BU20" s="143">
        <v>1.2058</v>
      </c>
      <c r="BV20" s="137"/>
    </row>
    <row r="21" spans="2:74">
      <c r="B21" s="148">
        <v>17</v>
      </c>
      <c r="C21" s="74">
        <f>IF($C$2=22.5,'S3'!A21,IF($C$2=23.5,'S3'!B21,IF($C$2=24.5,'S3'!C21,IF($C$2=25.5,'S3'!D21,IF($C$2=26.5,'S3'!E21,IF($C$2=27.5,'S3'!F21,IF($C$2=28.5,'S3'!G21,IF($C$2=29.5,'S3'!H21,IF($C$2=30.5,'S3'!I21,IF($C$2=31.5,'S3'!J21,IF($C$2=32.5,'S3'!K21,IF($C$2=33.5,'S3'!L21))))))))))))</f>
        <v>43.65</v>
      </c>
      <c r="D21" s="74">
        <f t="shared" si="1"/>
        <v>61.11</v>
      </c>
      <c r="E21" s="74">
        <f>IF($E$2=22.5,'S3'!Y21,IF($E$2=23.5,'S3'!Z21,IF($E$2=24.5,'S3'!AA21,IF($E$2=25.5,'S3'!AB21,IF($E$2=26.5,'S3'!AC21,IF($E$2=27.5,'S3'!AD21,IF($E$2=28.5,'S3'!AE21,IF($E$2=29.5,'S3'!AF21,IF($E$2=30.5,'S3'!AG21,IF($E$2=31.5,'S3'!AH21,IF($E$2=32.5,'S3'!AI21,IF($E$2=33.5,'S3'!AJ21))))))))))))</f>
        <v>27.06</v>
      </c>
      <c r="F21" s="74">
        <f t="shared" si="2"/>
        <v>37.880000000000003</v>
      </c>
      <c r="H21" s="24" t="s">
        <v>155</v>
      </c>
      <c r="I21" s="27" t="s">
        <v>88</v>
      </c>
      <c r="J21" s="97">
        <v>296.94</v>
      </c>
      <c r="K21" s="98">
        <v>301.13</v>
      </c>
      <c r="L21" s="97">
        <v>307.73</v>
      </c>
      <c r="M21" s="98">
        <v>311.92</v>
      </c>
      <c r="N21" s="97">
        <v>318.51</v>
      </c>
      <c r="O21" s="98">
        <v>322.7</v>
      </c>
      <c r="P21" s="1235">
        <v>329.29</v>
      </c>
      <c r="Q21" s="1236">
        <v>333.48</v>
      </c>
      <c r="R21" s="1235">
        <v>340.08</v>
      </c>
      <c r="S21" s="1236">
        <v>344.27</v>
      </c>
      <c r="T21" s="1235">
        <v>350.86</v>
      </c>
      <c r="U21" s="1236">
        <v>355.05</v>
      </c>
      <c r="V21" s="1235">
        <v>361.64</v>
      </c>
      <c r="W21" s="1236">
        <v>365.83</v>
      </c>
      <c r="X21" s="1235">
        <v>372.43</v>
      </c>
      <c r="Y21" s="1236">
        <v>376.62</v>
      </c>
      <c r="Z21" s="1236">
        <v>383.21</v>
      </c>
      <c r="AA21" s="1236">
        <v>387.4</v>
      </c>
      <c r="AB21" s="1236">
        <v>393.99</v>
      </c>
      <c r="AC21" s="1236">
        <v>398.18</v>
      </c>
      <c r="AD21" s="1237">
        <v>404.78</v>
      </c>
      <c r="AE21" s="1237">
        <v>408.97</v>
      </c>
      <c r="AF21" s="1237">
        <v>415.56</v>
      </c>
      <c r="AG21" s="1237">
        <v>419.75</v>
      </c>
      <c r="AH21" s="1237">
        <v>426.35</v>
      </c>
      <c r="AI21" s="1237">
        <v>430.54</v>
      </c>
      <c r="AJ21" s="1237">
        <v>437.13</v>
      </c>
      <c r="AK21" s="1237">
        <v>441.32</v>
      </c>
      <c r="AL21" s="1238">
        <v>447.91</v>
      </c>
      <c r="AM21" s="1238">
        <v>452.1</v>
      </c>
      <c r="AN21" s="1238">
        <v>458.7</v>
      </c>
      <c r="AO21" s="1238">
        <v>462.89</v>
      </c>
      <c r="AP21" s="1238">
        <v>469.48</v>
      </c>
      <c r="AQ21" s="1238">
        <v>473.67</v>
      </c>
      <c r="AR21" s="1238">
        <v>480.26</v>
      </c>
      <c r="AS21" s="1238">
        <v>484.45</v>
      </c>
      <c r="AT21" s="1238">
        <v>286.16000000000003</v>
      </c>
      <c r="AU21" s="1238">
        <v>290.35000000000002</v>
      </c>
      <c r="AV21" s="1238">
        <v>275.38</v>
      </c>
      <c r="AW21" s="1238">
        <v>279.57</v>
      </c>
      <c r="AX21" s="1238">
        <v>262.32</v>
      </c>
      <c r="AY21" s="1238">
        <v>266.52</v>
      </c>
      <c r="AZ21" s="1238">
        <v>251.54</v>
      </c>
      <c r="BA21" s="1238">
        <v>255.73</v>
      </c>
      <c r="BB21" s="1238">
        <v>240.76</v>
      </c>
      <c r="BC21" s="1238">
        <v>244.95</v>
      </c>
      <c r="BD21" s="150">
        <f t="shared" si="6"/>
        <v>383.21</v>
      </c>
      <c r="BE21" s="150">
        <f t="shared" si="6"/>
        <v>387.4</v>
      </c>
      <c r="BF21" s="92">
        <f>IF('1.ข้อมูล'!$Q$16=0,BD21,IF('1.ข้อมูล'!$Q$16=1,BE21,IF('1.ข้อมูล'!$Q$16=2,BE21,)))</f>
        <v>383.21</v>
      </c>
    </row>
    <row r="22" spans="2:74">
      <c r="B22" s="148">
        <v>18</v>
      </c>
      <c r="C22" s="74">
        <f>IF($C$2=22.5,'S3'!A22,IF($C$2=23.5,'S3'!B22,IF($C$2=24.5,'S3'!C22,IF($C$2=25.5,'S3'!D22,IF($C$2=26.5,'S3'!E22,IF($C$2=27.5,'S3'!F22,IF($C$2=28.5,'S3'!G22,IF($C$2=29.5,'S3'!H22,IF($C$2=30.5,'S3'!I22,IF($C$2=31.5,'S3'!J22,IF($C$2=32.5,'S3'!K22,IF($C$2=33.5,'S3'!L22))))))))))))</f>
        <v>46.14</v>
      </c>
      <c r="D22" s="74">
        <f t="shared" si="1"/>
        <v>64.599999999999994</v>
      </c>
      <c r="E22" s="74">
        <f>IF($E$2=22.5,'S3'!Y22,IF($E$2=23.5,'S3'!Z22,IF($E$2=24.5,'S3'!AA22,IF($E$2=25.5,'S3'!AB22,IF($E$2=26.5,'S3'!AC22,IF($E$2=27.5,'S3'!AD22,IF($E$2=28.5,'S3'!AE22,IF($E$2=29.5,'S3'!AF22,IF($E$2=30.5,'S3'!AG22,IF($E$2=31.5,'S3'!AH22,IF($E$2=32.5,'S3'!AI22,IF($E$2=33.5,'S3'!AJ22))))))))))))</f>
        <v>28.61</v>
      </c>
      <c r="F22" s="74">
        <f t="shared" si="2"/>
        <v>40.049999999999997</v>
      </c>
      <c r="H22" s="25" t="s">
        <v>89</v>
      </c>
      <c r="I22" s="26"/>
      <c r="J22" s="97"/>
      <c r="K22" s="98"/>
      <c r="L22" s="97"/>
      <c r="M22" s="98"/>
      <c r="N22" s="97"/>
      <c r="O22" s="98"/>
      <c r="P22" s="1235"/>
      <c r="Q22" s="1236"/>
      <c r="R22" s="1235"/>
      <c r="S22" s="1236"/>
      <c r="T22" s="1235"/>
      <c r="U22" s="1236"/>
      <c r="V22" s="1235"/>
      <c r="W22" s="1236"/>
      <c r="X22" s="1235"/>
      <c r="Y22" s="1236"/>
      <c r="Z22" s="1236"/>
      <c r="AA22" s="1236"/>
      <c r="AB22" s="1236"/>
      <c r="AC22" s="1236"/>
      <c r="AD22" s="1237"/>
      <c r="AE22" s="1237"/>
      <c r="AF22" s="1237"/>
      <c r="AG22" s="1237"/>
      <c r="AH22" s="1237"/>
      <c r="AI22" s="1237"/>
      <c r="AJ22" s="1237"/>
      <c r="AK22" s="1237"/>
      <c r="AL22" s="1238"/>
      <c r="AM22" s="1238"/>
      <c r="AN22" s="1238"/>
      <c r="AO22" s="1238"/>
      <c r="AP22" s="1238"/>
      <c r="AQ22" s="1238"/>
      <c r="AR22" s="1238"/>
      <c r="AS22" s="1238"/>
      <c r="AT22" s="1238"/>
      <c r="AU22" s="1238"/>
      <c r="AV22" s="1238"/>
      <c r="AW22" s="1238"/>
      <c r="AX22" s="1238"/>
      <c r="AY22" s="1238"/>
      <c r="AZ22" s="1238"/>
      <c r="BA22" s="1238"/>
      <c r="BB22" s="1238"/>
      <c r="BC22" s="1238"/>
      <c r="BD22" s="9"/>
      <c r="BE22" s="9"/>
      <c r="BF22" s="9"/>
      <c r="BI22" s="114" t="s">
        <v>94</v>
      </c>
      <c r="BJ22" s="36" t="s">
        <v>95</v>
      </c>
      <c r="BK22" s="13" t="s">
        <v>94</v>
      </c>
      <c r="BM22" s="89"/>
    </row>
    <row r="23" spans="2:74">
      <c r="B23" s="148">
        <v>19</v>
      </c>
      <c r="C23" s="74">
        <f>IF($C$2=22.5,'S3'!A23,IF($C$2=23.5,'S3'!B23,IF($C$2=24.5,'S3'!C23,IF($C$2=25.5,'S3'!D23,IF($C$2=26.5,'S3'!E23,IF($C$2=27.5,'S3'!F23,IF($C$2=28.5,'S3'!G23,IF($C$2=29.5,'S3'!H23,IF($C$2=30.5,'S3'!I23,IF($C$2=31.5,'S3'!J23,IF($C$2=32.5,'S3'!K23,IF($C$2=33.5,'S3'!L23))))))))))))</f>
        <v>48.64</v>
      </c>
      <c r="D23" s="74">
        <f t="shared" si="1"/>
        <v>68.099999999999994</v>
      </c>
      <c r="E23" s="74">
        <f>IF($E$2=22.5,'S3'!Y23,IF($E$2=23.5,'S3'!Z23,IF($E$2=24.5,'S3'!AA23,IF($E$2=25.5,'S3'!AB23,IF($E$2=26.5,'S3'!AC23,IF($E$2=27.5,'S3'!AD23,IF($E$2=28.5,'S3'!AE23,IF($E$2=29.5,'S3'!AF23,IF($E$2=30.5,'S3'!AG23,IF($E$2=31.5,'S3'!AH23,IF($E$2=32.5,'S3'!AI23,IF($E$2=33.5,'S3'!AJ23))))))))))))</f>
        <v>30.17</v>
      </c>
      <c r="F23" s="74">
        <f t="shared" si="2"/>
        <v>42.24</v>
      </c>
      <c r="H23" s="24" t="s">
        <v>90</v>
      </c>
      <c r="I23" s="27" t="s">
        <v>91</v>
      </c>
      <c r="J23" s="100">
        <v>14.55</v>
      </c>
      <c r="K23" s="100">
        <v>15.1</v>
      </c>
      <c r="L23" s="100">
        <v>14.81</v>
      </c>
      <c r="M23" s="100">
        <v>15.36</v>
      </c>
      <c r="N23" s="100">
        <v>15.07</v>
      </c>
      <c r="O23" s="100">
        <v>15.62</v>
      </c>
      <c r="P23" s="1242">
        <v>15.33</v>
      </c>
      <c r="Q23" s="1242">
        <v>15.88</v>
      </c>
      <c r="R23" s="1242">
        <v>15.59</v>
      </c>
      <c r="S23" s="1242">
        <v>16.14</v>
      </c>
      <c r="T23" s="1242">
        <v>15.85</v>
      </c>
      <c r="U23" s="1242">
        <v>16.399999999999999</v>
      </c>
      <c r="V23" s="1242">
        <v>16.11</v>
      </c>
      <c r="W23" s="1242">
        <v>16.66</v>
      </c>
      <c r="X23" s="1242">
        <v>16.37</v>
      </c>
      <c r="Y23" s="1242">
        <v>16.920000000000002</v>
      </c>
      <c r="Z23" s="1242">
        <v>16.63</v>
      </c>
      <c r="AA23" s="1242">
        <v>17.18</v>
      </c>
      <c r="AB23" s="1242">
        <v>16.89</v>
      </c>
      <c r="AC23" s="1242">
        <v>17.440000000000001</v>
      </c>
      <c r="AD23" s="1243">
        <v>17.149999999999999</v>
      </c>
      <c r="AE23" s="1243">
        <v>17.7</v>
      </c>
      <c r="AF23" s="1243">
        <v>17.41</v>
      </c>
      <c r="AG23" s="1243">
        <v>17.96</v>
      </c>
      <c r="AH23" s="1243">
        <v>17.670000000000002</v>
      </c>
      <c r="AI23" s="1243">
        <v>18.22</v>
      </c>
      <c r="AJ23" s="1243">
        <v>17.93</v>
      </c>
      <c r="AK23" s="1243">
        <v>18.48</v>
      </c>
      <c r="AL23" s="1244">
        <v>18.190000000000001</v>
      </c>
      <c r="AM23" s="1244">
        <v>18.739999999999998</v>
      </c>
      <c r="AN23" s="1244">
        <v>18.45</v>
      </c>
      <c r="AO23" s="1244">
        <v>19</v>
      </c>
      <c r="AP23" s="1244">
        <v>18.71</v>
      </c>
      <c r="AQ23" s="1244">
        <v>19.260000000000002</v>
      </c>
      <c r="AR23" s="1244">
        <v>18.97</v>
      </c>
      <c r="AS23" s="1244">
        <v>19.52</v>
      </c>
      <c r="AT23" s="1244">
        <v>14.29</v>
      </c>
      <c r="AU23" s="1244">
        <v>14.84</v>
      </c>
      <c r="AV23" s="1244">
        <v>14.03</v>
      </c>
      <c r="AW23" s="1244">
        <v>14.58</v>
      </c>
      <c r="AX23" s="1244">
        <v>11.88</v>
      </c>
      <c r="AY23" s="1244">
        <v>12.36</v>
      </c>
      <c r="AZ23" s="1244">
        <v>11.62</v>
      </c>
      <c r="BA23" s="1244">
        <v>12.1</v>
      </c>
      <c r="BB23" s="1244">
        <v>11.36</v>
      </c>
      <c r="BC23" s="1244">
        <v>11.84</v>
      </c>
      <c r="BD23" s="150">
        <f t="shared" ref="BD23:BE25" si="7">IF($C$2=22.5,J23,IF($C$2=23.5,L23,IF($C$2=24.5,N23,IF($C$2=25.5,P23,IF($C$2=26.5,R23,IF($C$2=27.5,T23,IF($C$2=28.5,V23,IF($C$2=29.5,X23,IF($C$2=30.5,Z23,IF($C$2=31.5,AB23,IF($C$2=32.5,AD23,IF($C$2=33.5,AF23))))))))))))</f>
        <v>16.63</v>
      </c>
      <c r="BE23" s="150">
        <f t="shared" si="7"/>
        <v>17.18</v>
      </c>
      <c r="BF23" s="92">
        <f>IF('1.ข้อมูล'!$Q$16=0,BD23,IF('1.ข้อมูล'!$Q$16=1,BE23,IF('1.ข้อมูล'!$Q$16=2,BE23,)))</f>
        <v>16.63</v>
      </c>
      <c r="BI23" s="113">
        <f>'1.ข้อมูล'!$E$163</f>
        <v>5</v>
      </c>
      <c r="BJ23" s="33">
        <v>30</v>
      </c>
      <c r="BK23" s="37">
        <v>0.8</v>
      </c>
      <c r="BL23" s="35"/>
    </row>
    <row r="24" spans="2:74">
      <c r="B24" s="148">
        <v>20</v>
      </c>
      <c r="C24" s="74">
        <f>IF($C$2=22.5,'S3'!A24,IF($C$2=23.5,'S3'!B24,IF($C$2=24.5,'S3'!C24,IF($C$2=25.5,'S3'!D24,IF($C$2=26.5,'S3'!E24,IF($C$2=27.5,'S3'!F24,IF($C$2=28.5,'S3'!G24,IF($C$2=29.5,'S3'!H24,IF($C$2=30.5,'S3'!I24,IF($C$2=31.5,'S3'!J24,IF($C$2=32.5,'S3'!K24,IF($C$2=33.5,'S3'!L24))))))))))))</f>
        <v>51.14</v>
      </c>
      <c r="D24" s="74">
        <f t="shared" si="1"/>
        <v>71.599999999999994</v>
      </c>
      <c r="E24" s="74">
        <f>IF($E$2=22.5,'S3'!Y24,IF($E$2=23.5,'S3'!Z24,IF($E$2=24.5,'S3'!AA24,IF($E$2=25.5,'S3'!AB24,IF($E$2=26.5,'S3'!AC24,IF($E$2=27.5,'S3'!AD24,IF($E$2=28.5,'S3'!AE24,IF($E$2=29.5,'S3'!AF24,IF($E$2=30.5,'S3'!AG24,IF($E$2=31.5,'S3'!AH24,IF($E$2=32.5,'S3'!AI24,IF($E$2=33.5,'S3'!AJ24))))))))))))</f>
        <v>31.72</v>
      </c>
      <c r="F24" s="74">
        <f t="shared" si="2"/>
        <v>44.41</v>
      </c>
      <c r="H24" s="24" t="s">
        <v>92</v>
      </c>
      <c r="I24" s="27" t="s">
        <v>91</v>
      </c>
      <c r="J24" s="100">
        <v>2.4</v>
      </c>
      <c r="K24" s="100">
        <v>2.5</v>
      </c>
      <c r="L24" s="100">
        <v>2.44</v>
      </c>
      <c r="M24" s="100">
        <v>2.54</v>
      </c>
      <c r="N24" s="100">
        <v>2.48</v>
      </c>
      <c r="O24" s="100">
        <v>2.58</v>
      </c>
      <c r="P24" s="1242">
        <v>2.5299999999999998</v>
      </c>
      <c r="Q24" s="1242">
        <v>2.63</v>
      </c>
      <c r="R24" s="1242">
        <v>2.57</v>
      </c>
      <c r="S24" s="1242">
        <v>2.67</v>
      </c>
      <c r="T24" s="1242">
        <v>2.62</v>
      </c>
      <c r="U24" s="1242">
        <v>2.72</v>
      </c>
      <c r="V24" s="1242">
        <v>2.66</v>
      </c>
      <c r="W24" s="1242">
        <v>2.76</v>
      </c>
      <c r="X24" s="1242">
        <v>2.7</v>
      </c>
      <c r="Y24" s="1242">
        <v>2.8</v>
      </c>
      <c r="Z24" s="1242">
        <v>2.75</v>
      </c>
      <c r="AA24" s="1242">
        <v>2.85</v>
      </c>
      <c r="AB24" s="1242">
        <v>2.79</v>
      </c>
      <c r="AC24" s="1242">
        <v>2.89</v>
      </c>
      <c r="AD24" s="1243">
        <v>2.84</v>
      </c>
      <c r="AE24" s="1243">
        <v>2.94</v>
      </c>
      <c r="AF24" s="1243">
        <v>2.88</v>
      </c>
      <c r="AG24" s="1243">
        <v>2.98</v>
      </c>
      <c r="AH24" s="1243">
        <v>2.92</v>
      </c>
      <c r="AI24" s="1243">
        <v>3.02</v>
      </c>
      <c r="AJ24" s="1243">
        <v>2.97</v>
      </c>
      <c r="AK24" s="1243">
        <v>3.07</v>
      </c>
      <c r="AL24" s="1244">
        <v>3.01</v>
      </c>
      <c r="AM24" s="1244">
        <v>3.31</v>
      </c>
      <c r="AN24" s="1244">
        <v>3.05</v>
      </c>
      <c r="AO24" s="1244">
        <v>3.15</v>
      </c>
      <c r="AP24" s="1244">
        <v>3.1</v>
      </c>
      <c r="AQ24" s="1244">
        <v>3.2</v>
      </c>
      <c r="AR24" s="1244">
        <v>3.14</v>
      </c>
      <c r="AS24" s="1244">
        <v>3.24</v>
      </c>
      <c r="AT24" s="1244">
        <v>2.35</v>
      </c>
      <c r="AU24" s="1244">
        <v>2.4500000000000002</v>
      </c>
      <c r="AV24" s="1244">
        <v>2.31</v>
      </c>
      <c r="AW24" s="1244">
        <v>2.41</v>
      </c>
      <c r="AX24" s="1244">
        <v>2.0499999999999998</v>
      </c>
      <c r="AY24" s="1244">
        <v>2.14</v>
      </c>
      <c r="AZ24" s="1244">
        <v>2.0099999999999998</v>
      </c>
      <c r="BA24" s="1244">
        <v>2.1</v>
      </c>
      <c r="BB24" s="1244">
        <v>1.97</v>
      </c>
      <c r="BC24" s="1244">
        <v>2.06</v>
      </c>
      <c r="BD24" s="150">
        <f t="shared" si="7"/>
        <v>2.75</v>
      </c>
      <c r="BE24" s="150">
        <f t="shared" si="7"/>
        <v>2.85</v>
      </c>
      <c r="BF24" s="92">
        <f>IF('1.ข้อมูล'!$Q$16=0,BD24,IF('1.ข้อมูล'!$Q$16=1,BE24,IF('1.ข้อมูล'!$Q$16=2,BE24,)))</f>
        <v>2.75</v>
      </c>
      <c r="BI24" s="33">
        <f>BI23*10</f>
        <v>50</v>
      </c>
      <c r="BJ24" s="33">
        <v>40</v>
      </c>
      <c r="BK24" s="37">
        <v>0.9</v>
      </c>
    </row>
    <row r="25" spans="2:74">
      <c r="B25" s="148">
        <v>21</v>
      </c>
      <c r="C25" s="74">
        <f>IF($C$2=22.5,'S3'!A25,IF($C$2=23.5,'S3'!B25,IF($C$2=24.5,'S3'!C25,IF($C$2=25.5,'S3'!D25,IF($C$2=26.5,'S3'!E25,IF($C$2=27.5,'S3'!F25,IF($C$2=28.5,'S3'!G25,IF($C$2=29.5,'S3'!H25,IF($C$2=30.5,'S3'!I25,IF($C$2=31.5,'S3'!J25,IF($C$2=32.5,'S3'!K25,IF($C$2=33.5,'S3'!L25))))))))))))</f>
        <v>53.63</v>
      </c>
      <c r="D25" s="74">
        <f t="shared" si="1"/>
        <v>75.08</v>
      </c>
      <c r="E25" s="74">
        <f>IF($E$2=22.5,'S3'!Y25,IF($E$2=23.5,'S3'!Z25,IF($E$2=24.5,'S3'!AA25,IF($E$2=25.5,'S3'!AB25,IF($E$2=26.5,'S3'!AC25,IF($E$2=27.5,'S3'!AD25,IF($E$2=28.5,'S3'!AE25,IF($E$2=29.5,'S3'!AF25,IF($E$2=30.5,'S3'!AG25,IF($E$2=31.5,'S3'!AH25,IF($E$2=32.5,'S3'!AI25,IF($E$2=33.5,'S3'!AJ25))))))))))))</f>
        <v>33.28</v>
      </c>
      <c r="F25" s="74">
        <f t="shared" si="2"/>
        <v>46.59</v>
      </c>
      <c r="H25" s="24" t="s">
        <v>93</v>
      </c>
      <c r="I25" s="27" t="s">
        <v>91</v>
      </c>
      <c r="J25" s="100">
        <v>10.96</v>
      </c>
      <c r="K25" s="100">
        <v>11.48</v>
      </c>
      <c r="L25" s="100">
        <v>11.13</v>
      </c>
      <c r="M25" s="100">
        <v>11.65</v>
      </c>
      <c r="N25" s="100">
        <v>11.31</v>
      </c>
      <c r="O25" s="100">
        <v>11.83</v>
      </c>
      <c r="P25" s="1242">
        <v>11.48</v>
      </c>
      <c r="Q25" s="1242">
        <v>12</v>
      </c>
      <c r="R25" s="1242">
        <v>11.65</v>
      </c>
      <c r="S25" s="1242">
        <v>12.17</v>
      </c>
      <c r="T25" s="1242">
        <v>11.83</v>
      </c>
      <c r="U25" s="1242">
        <v>12.35</v>
      </c>
      <c r="V25" s="1242">
        <v>12</v>
      </c>
      <c r="W25" s="1242">
        <v>12.52</v>
      </c>
      <c r="X25" s="1242">
        <v>12.17</v>
      </c>
      <c r="Y25" s="1242">
        <v>12.69</v>
      </c>
      <c r="Z25" s="1242">
        <v>12.34</v>
      </c>
      <c r="AA25" s="1242">
        <v>12.86</v>
      </c>
      <c r="AB25" s="1242">
        <v>12.52</v>
      </c>
      <c r="AC25" s="1242">
        <v>13.04</v>
      </c>
      <c r="AD25" s="1243">
        <v>12.69</v>
      </c>
      <c r="AE25" s="1243">
        <v>13.21</v>
      </c>
      <c r="AF25" s="1243">
        <v>12.86</v>
      </c>
      <c r="AG25" s="1243">
        <v>13.38</v>
      </c>
      <c r="AH25" s="1243">
        <v>13.03</v>
      </c>
      <c r="AI25" s="1243">
        <v>13.55</v>
      </c>
      <c r="AJ25" s="1243">
        <v>13.21</v>
      </c>
      <c r="AK25" s="1243">
        <v>13.73</v>
      </c>
      <c r="AL25" s="1244">
        <v>13.38</v>
      </c>
      <c r="AM25" s="1244">
        <v>13.9</v>
      </c>
      <c r="AN25" s="1244">
        <v>13.55</v>
      </c>
      <c r="AO25" s="1244">
        <v>14.07</v>
      </c>
      <c r="AP25" s="1244">
        <v>13.72</v>
      </c>
      <c r="AQ25" s="1244">
        <v>14.24</v>
      </c>
      <c r="AR25" s="1244">
        <v>13.9</v>
      </c>
      <c r="AS25" s="1244">
        <v>14.42</v>
      </c>
      <c r="AT25" s="1244">
        <v>10.79</v>
      </c>
      <c r="AU25" s="1244">
        <v>11.31</v>
      </c>
      <c r="AV25" s="1244">
        <v>10.62</v>
      </c>
      <c r="AW25" s="1244">
        <v>11.14</v>
      </c>
      <c r="AX25" s="1244">
        <v>9.42</v>
      </c>
      <c r="AY25" s="1244">
        <v>9.9</v>
      </c>
      <c r="AZ25" s="1244">
        <v>9.25</v>
      </c>
      <c r="BA25" s="1244">
        <v>9.73</v>
      </c>
      <c r="BB25" s="1244">
        <v>9.08</v>
      </c>
      <c r="BC25" s="1244">
        <v>9.56</v>
      </c>
      <c r="BD25" s="150">
        <f t="shared" si="7"/>
        <v>12.34</v>
      </c>
      <c r="BE25" s="150">
        <f t="shared" si="7"/>
        <v>12.86</v>
      </c>
      <c r="BF25" s="92">
        <f>IF('1.ข้อมูล'!$Q$16=0,BD25,IF('1.ข้อมูล'!$Q$16=1,BE25,IF('1.ข้อมูล'!$Q$16=2,BE25,)))</f>
        <v>12.34</v>
      </c>
      <c r="BI25" s="33">
        <f>VLOOKUP(BI24,BJ23:BK28,2)</f>
        <v>1</v>
      </c>
      <c r="BJ25" s="33">
        <v>50</v>
      </c>
      <c r="BK25" s="37">
        <v>1</v>
      </c>
    </row>
    <row r="26" spans="2:74">
      <c r="B26" s="148">
        <v>22</v>
      </c>
      <c r="C26" s="74">
        <f>IF($C$2=22.5,'S3'!A26,IF($C$2=23.5,'S3'!B26,IF($C$2=24.5,'S3'!C26,IF($C$2=25.5,'S3'!D26,IF($C$2=26.5,'S3'!E26,IF($C$2=27.5,'S3'!F26,IF($C$2=28.5,'S3'!G26,IF($C$2=29.5,'S3'!H26,IF($C$2=30.5,'S3'!I26,IF($C$2=31.5,'S3'!J26,IF($C$2=32.5,'S3'!K26,IF($C$2=33.5,'S3'!L26))))))))))))</f>
        <v>56.13</v>
      </c>
      <c r="D26" s="74">
        <f t="shared" si="1"/>
        <v>78.58</v>
      </c>
      <c r="E26" s="74">
        <f>IF($E$2=22.5,'S3'!Y26,IF($E$2=23.5,'S3'!Z26,IF($E$2=24.5,'S3'!AA26,IF($E$2=25.5,'S3'!AB26,IF($E$2=26.5,'S3'!AC26,IF($E$2=27.5,'S3'!AD26,IF($E$2=28.5,'S3'!AE26,IF($E$2=29.5,'S3'!AF26,IF($E$2=30.5,'S3'!AG26,IF($E$2=31.5,'S3'!AH26,IF($E$2=32.5,'S3'!AI26,IF($E$2=33.5,'S3'!AJ26))))))))))))</f>
        <v>34.83</v>
      </c>
      <c r="F26" s="74">
        <f t="shared" si="2"/>
        <v>48.76</v>
      </c>
      <c r="H26" s="25" t="s">
        <v>159</v>
      </c>
      <c r="I26" s="26"/>
      <c r="J26" s="97"/>
      <c r="K26" s="98"/>
      <c r="L26" s="97"/>
      <c r="M26" s="98"/>
      <c r="N26" s="97"/>
      <c r="O26" s="98"/>
      <c r="P26" s="1235"/>
      <c r="Q26" s="1236"/>
      <c r="R26" s="1235"/>
      <c r="S26" s="1236"/>
      <c r="T26" s="1235"/>
      <c r="U26" s="1236"/>
      <c r="V26" s="1235"/>
      <c r="W26" s="1236"/>
      <c r="X26" s="1235"/>
      <c r="Y26" s="1236"/>
      <c r="Z26" s="1236"/>
      <c r="AA26" s="1236"/>
      <c r="AB26" s="1236"/>
      <c r="AC26" s="1236"/>
      <c r="AD26" s="1237"/>
      <c r="AE26" s="1237"/>
      <c r="AF26" s="1237"/>
      <c r="AG26" s="1237"/>
      <c r="AH26" s="1237"/>
      <c r="AI26" s="1237"/>
      <c r="AJ26" s="1237"/>
      <c r="AK26" s="1237"/>
      <c r="AL26" s="1238"/>
      <c r="AM26" s="1238"/>
      <c r="AN26" s="1238"/>
      <c r="AO26" s="1238"/>
      <c r="AP26" s="1238"/>
      <c r="AQ26" s="1238"/>
      <c r="AR26" s="1238"/>
      <c r="AS26" s="1238"/>
      <c r="AT26" s="1238"/>
      <c r="AU26" s="1238"/>
      <c r="AV26" s="1238"/>
      <c r="AW26" s="1238"/>
      <c r="AX26" s="1238"/>
      <c r="AY26" s="1238"/>
      <c r="AZ26" s="1238"/>
      <c r="BA26" s="1238"/>
      <c r="BB26" s="1238"/>
      <c r="BC26" s="1238"/>
      <c r="BD26" s="9"/>
      <c r="BE26" s="9"/>
      <c r="BF26" s="9"/>
      <c r="BI26" s="33"/>
      <c r="BJ26" s="33">
        <v>60</v>
      </c>
      <c r="BK26" s="37">
        <v>1.6</v>
      </c>
    </row>
    <row r="27" spans="2:74">
      <c r="B27" s="148">
        <v>23</v>
      </c>
      <c r="C27" s="74">
        <f>IF($C$2=22.5,'S3'!A27,IF($C$2=23.5,'S3'!B27,IF($C$2=24.5,'S3'!C27,IF($C$2=25.5,'S3'!D27,IF($C$2=26.5,'S3'!E27,IF($C$2=27.5,'S3'!F27,IF($C$2=28.5,'S3'!G27,IF($C$2=29.5,'S3'!H27,IF($C$2=30.5,'S3'!I27,IF($C$2=31.5,'S3'!J27,IF($C$2=32.5,'S3'!K27,IF($C$2=33.5,'S3'!L27))))))))))))</f>
        <v>58.61</v>
      </c>
      <c r="D27" s="74">
        <f t="shared" si="1"/>
        <v>82.05</v>
      </c>
      <c r="E27" s="74">
        <f>IF($E$2=22.5,'S3'!Y27,IF($E$2=23.5,'S3'!Z27,IF($E$2=24.5,'S3'!AA27,IF($E$2=25.5,'S3'!AB27,IF($E$2=26.5,'S3'!AC27,IF($E$2=27.5,'S3'!AD27,IF($E$2=28.5,'S3'!AE27,IF($E$2=29.5,'S3'!AF27,IF($E$2=30.5,'S3'!AG27,IF($E$2=31.5,'S3'!AH27,IF($E$2=32.5,'S3'!AI27,IF($E$2=33.5,'S3'!AJ27))))))))))))</f>
        <v>36.39</v>
      </c>
      <c r="F27" s="74">
        <f t="shared" si="2"/>
        <v>50.95</v>
      </c>
      <c r="H27" s="24" t="s">
        <v>160</v>
      </c>
      <c r="I27" s="27" t="s">
        <v>91</v>
      </c>
      <c r="J27" s="100">
        <v>34.58</v>
      </c>
      <c r="K27" s="100">
        <v>36.43</v>
      </c>
      <c r="L27" s="100">
        <v>34.76</v>
      </c>
      <c r="M27" s="100">
        <v>36.61</v>
      </c>
      <c r="N27" s="100">
        <v>34.93</v>
      </c>
      <c r="O27" s="100">
        <v>36.78</v>
      </c>
      <c r="P27" s="1242">
        <v>35.11</v>
      </c>
      <c r="Q27" s="1242">
        <v>36.96</v>
      </c>
      <c r="R27" s="1242">
        <v>35.29</v>
      </c>
      <c r="S27" s="1242">
        <v>37.14</v>
      </c>
      <c r="T27" s="1242">
        <v>35.47</v>
      </c>
      <c r="U27" s="1242">
        <v>37.32</v>
      </c>
      <c r="V27" s="1242">
        <v>35.64</v>
      </c>
      <c r="W27" s="1242">
        <v>37.49</v>
      </c>
      <c r="X27" s="1242">
        <v>35.82</v>
      </c>
      <c r="Y27" s="1242">
        <v>37.67</v>
      </c>
      <c r="Z27" s="1242">
        <v>36</v>
      </c>
      <c r="AA27" s="1242">
        <v>37.85</v>
      </c>
      <c r="AB27" s="1242">
        <v>36.18</v>
      </c>
      <c r="AC27" s="1242">
        <v>38.03</v>
      </c>
      <c r="AD27" s="1243">
        <v>36.35</v>
      </c>
      <c r="AE27" s="1243">
        <v>38.200000000000003</v>
      </c>
      <c r="AF27" s="1243">
        <v>36.53</v>
      </c>
      <c r="AG27" s="1243">
        <v>38.380000000000003</v>
      </c>
      <c r="AH27" s="1243">
        <v>36.71</v>
      </c>
      <c r="AI27" s="1243">
        <v>38.56</v>
      </c>
      <c r="AJ27" s="1243">
        <v>36.89</v>
      </c>
      <c r="AK27" s="1243">
        <v>38.74</v>
      </c>
      <c r="AL27" s="1244">
        <v>37.06</v>
      </c>
      <c r="AM27" s="1244">
        <v>38.909999999999997</v>
      </c>
      <c r="AN27" s="1244">
        <v>37.24</v>
      </c>
      <c r="AO27" s="1244">
        <v>39.090000000000003</v>
      </c>
      <c r="AP27" s="1244">
        <v>37.42</v>
      </c>
      <c r="AQ27" s="1244">
        <v>39.270000000000003</v>
      </c>
      <c r="AR27" s="1244">
        <v>37.6</v>
      </c>
      <c r="AS27" s="1244">
        <v>39.450000000000003</v>
      </c>
      <c r="AT27" s="1244">
        <v>34.4</v>
      </c>
      <c r="AU27" s="1244">
        <v>36.25</v>
      </c>
      <c r="AV27" s="1244">
        <v>34.22</v>
      </c>
      <c r="AW27" s="1244">
        <v>36.07</v>
      </c>
      <c r="AX27" s="1244">
        <v>40.92</v>
      </c>
      <c r="AY27" s="1244">
        <v>44.27</v>
      </c>
      <c r="AZ27" s="1244">
        <v>40.74</v>
      </c>
      <c r="BA27" s="1244">
        <v>44.09</v>
      </c>
      <c r="BB27" s="1244">
        <v>40.56</v>
      </c>
      <c r="BC27" s="1244">
        <v>43.91</v>
      </c>
      <c r="BD27" s="150">
        <f>IF($C$2=22.5,J27,IF($C$2=23.5,L27,IF($C$2=24.5,N27,IF($C$2=25.5,P27,IF($C$2=26.5,R27,IF($C$2=27.5,T27,IF($C$2=28.5,V27,IF($C$2=29.5,X27,IF($C$2=30.5,Z27,IF($C$2=31.5,AB27,IF($C$2=32.5,AD27,IF($C$2=33.5,AF27))))))))))))</f>
        <v>36</v>
      </c>
      <c r="BE27" s="150">
        <f>IF($C$2=22.5,K27,IF($C$2=23.5,M27,IF($C$2=24.5,O27,IF($C$2=25.5,Q27,IF($C$2=26.5,S27,IF($C$2=27.5,U27,IF($C$2=28.5,W27,IF($C$2=29.5,Y27,IF($C$2=30.5,AA27,IF($C$2=31.5,AC27,IF($C$2=32.5,AE27,IF($C$2=33.5,AG27))))))))))))</f>
        <v>37.85</v>
      </c>
      <c r="BF27" s="92">
        <f>IF('1.ข้อมูล'!$Q$16=0,BD27,IF('1.ข้อมูล'!$Q$16=1,BE27,IF('1.ข้อมูล'!$Q$16=2,BE27,)))</f>
        <v>36</v>
      </c>
      <c r="BI27" s="33"/>
      <c r="BJ27" s="33">
        <v>70</v>
      </c>
      <c r="BK27" s="37">
        <v>1.7</v>
      </c>
    </row>
    <row r="28" spans="2:74">
      <c r="B28" s="148">
        <v>24</v>
      </c>
      <c r="C28" s="74">
        <f>IF($C$2=22.5,'S3'!A28,IF($C$2=23.5,'S3'!B28,IF($C$2=24.5,'S3'!C28,IF($C$2=25.5,'S3'!D28,IF($C$2=26.5,'S3'!E28,IF($C$2=27.5,'S3'!F28,IF($C$2=28.5,'S3'!G28,IF($C$2=29.5,'S3'!H28,IF($C$2=30.5,'S3'!I28,IF($C$2=31.5,'S3'!J28,IF($C$2=32.5,'S3'!K28,IF($C$2=33.5,'S3'!L28))))))))))))</f>
        <v>61.11</v>
      </c>
      <c r="D28" s="74">
        <f t="shared" si="1"/>
        <v>85.55</v>
      </c>
      <c r="E28" s="74">
        <f>IF($E$2=22.5,'S3'!Y28,IF($E$2=23.5,'S3'!Z28,IF($E$2=24.5,'S3'!AA28,IF($E$2=25.5,'S3'!AB28,IF($E$2=26.5,'S3'!AC28,IF($E$2=27.5,'S3'!AD28,IF($E$2=28.5,'S3'!AE28,IF($E$2=29.5,'S3'!AF28,IF($E$2=30.5,'S3'!AG28,IF($E$2=31.5,'S3'!AH28,IF($E$2=32.5,'S3'!AI28,IF($E$2=33.5,'S3'!AJ28))))))))))))</f>
        <v>37.94</v>
      </c>
      <c r="F28" s="74">
        <f t="shared" si="2"/>
        <v>53.12</v>
      </c>
      <c r="H28" s="144" t="s">
        <v>162</v>
      </c>
      <c r="I28" s="24"/>
      <c r="J28" s="9"/>
      <c r="K28" s="9"/>
      <c r="L28" s="9"/>
      <c r="M28" s="9"/>
      <c r="N28" s="9"/>
      <c r="O28" s="9"/>
      <c r="P28" s="1245"/>
      <c r="Q28" s="1245"/>
      <c r="R28" s="1245"/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6"/>
      <c r="AE28" s="1246"/>
      <c r="AF28" s="1246"/>
      <c r="AG28" s="1246"/>
      <c r="AH28" s="1246"/>
      <c r="AI28" s="1246"/>
      <c r="AJ28" s="1246"/>
      <c r="AK28" s="1246"/>
      <c r="AL28" s="1247"/>
      <c r="AM28" s="1247"/>
      <c r="AN28" s="1247"/>
      <c r="AO28" s="1247"/>
      <c r="AP28" s="1247"/>
      <c r="AQ28" s="1247"/>
      <c r="AR28" s="1247"/>
      <c r="AS28" s="1247"/>
      <c r="AT28" s="1247"/>
      <c r="AU28" s="1247"/>
      <c r="AV28" s="1247"/>
      <c r="AW28" s="1247"/>
      <c r="AX28" s="1247"/>
      <c r="AY28" s="1247"/>
      <c r="AZ28" s="1247"/>
      <c r="BA28" s="1247"/>
      <c r="BB28" s="1247"/>
      <c r="BC28" s="1247"/>
      <c r="BD28" s="9"/>
      <c r="BE28" s="9"/>
      <c r="BF28" s="9"/>
      <c r="BI28" s="29"/>
      <c r="BJ28" s="38">
        <v>80</v>
      </c>
      <c r="BK28" s="39">
        <v>1.8</v>
      </c>
    </row>
    <row r="29" spans="2:74">
      <c r="B29" s="148">
        <v>25</v>
      </c>
      <c r="C29" s="74">
        <f>IF($C$2=22.5,'S3'!A29,IF($C$2=23.5,'S3'!B29,IF($C$2=24.5,'S3'!C29,IF($C$2=25.5,'S3'!D29,IF($C$2=26.5,'S3'!E29,IF($C$2=27.5,'S3'!F29,IF($C$2=28.5,'S3'!G29,IF($C$2=29.5,'S3'!H29,IF($C$2=30.5,'S3'!I29,IF($C$2=31.5,'S3'!J29,IF($C$2=32.5,'S3'!K29,IF($C$2=33.5,'S3'!L29))))))))))))</f>
        <v>63.61</v>
      </c>
      <c r="D29" s="74">
        <f t="shared" si="1"/>
        <v>89.05</v>
      </c>
      <c r="E29" s="74">
        <f>IF($E$2=22.5,'S3'!Y29,IF($E$2=23.5,'S3'!Z29,IF($E$2=24.5,'S3'!AA29,IF($E$2=25.5,'S3'!AB29,IF($E$2=26.5,'S3'!AC29,IF($E$2=27.5,'S3'!AD29,IF($E$2=28.5,'S3'!AE29,IF($E$2=29.5,'S3'!AF29,IF($E$2=30.5,'S3'!AG29,IF($E$2=31.5,'S3'!AH29,IF($E$2=32.5,'S3'!AI29,IF($E$2=33.5,'S3'!AJ29))))))))))))</f>
        <v>39.5</v>
      </c>
      <c r="F29" s="74">
        <f t="shared" si="2"/>
        <v>55.3</v>
      </c>
      <c r="H29" s="135" t="s">
        <v>163</v>
      </c>
      <c r="I29" s="27" t="s">
        <v>91</v>
      </c>
      <c r="J29" s="135">
        <v>3.41</v>
      </c>
      <c r="K29" s="135">
        <v>3.55</v>
      </c>
      <c r="L29" s="135">
        <v>3.44</v>
      </c>
      <c r="M29" s="136">
        <v>3.58</v>
      </c>
      <c r="N29" s="135">
        <v>3.47</v>
      </c>
      <c r="O29" s="135">
        <v>3.61</v>
      </c>
      <c r="P29" s="1248">
        <v>3.5</v>
      </c>
      <c r="Q29" s="1248">
        <v>3.64</v>
      </c>
      <c r="R29" s="1248">
        <v>3.54</v>
      </c>
      <c r="S29" s="1248">
        <v>3.68</v>
      </c>
      <c r="T29" s="1249">
        <v>3.57</v>
      </c>
      <c r="U29" s="1248">
        <v>3.71</v>
      </c>
      <c r="V29" s="1249">
        <v>3.6</v>
      </c>
      <c r="W29" s="1327" t="s">
        <v>1190</v>
      </c>
      <c r="X29" s="1248">
        <v>3.63</v>
      </c>
      <c r="Y29" s="1248">
        <v>3.77</v>
      </c>
      <c r="Z29" s="1249">
        <v>3.67</v>
      </c>
      <c r="AA29" s="1248">
        <v>3.81</v>
      </c>
      <c r="AB29" s="1248">
        <v>3.7</v>
      </c>
      <c r="AC29" s="1248">
        <v>3.84</v>
      </c>
      <c r="AD29" s="1250">
        <v>3.73</v>
      </c>
      <c r="AE29" s="1250">
        <v>3.87</v>
      </c>
      <c r="AF29" s="1251">
        <v>3.76</v>
      </c>
      <c r="AG29" s="1250">
        <v>3.9</v>
      </c>
      <c r="AH29" s="1250">
        <v>3.79</v>
      </c>
      <c r="AI29" s="1250">
        <v>3.93</v>
      </c>
      <c r="AJ29" s="1250">
        <v>3.83</v>
      </c>
      <c r="AK29" s="1250">
        <v>3.97</v>
      </c>
      <c r="AL29" s="1252">
        <v>3.86</v>
      </c>
      <c r="AM29" s="1253">
        <v>4</v>
      </c>
      <c r="AN29" s="1252">
        <v>3.89</v>
      </c>
      <c r="AO29" s="1252">
        <v>4.03</v>
      </c>
      <c r="AP29" s="1252">
        <v>3.92</v>
      </c>
      <c r="AQ29" s="1252">
        <v>4.0599999999999996</v>
      </c>
      <c r="AR29" s="1252">
        <v>3.96</v>
      </c>
      <c r="AS29" s="1252">
        <v>4.0999999999999996</v>
      </c>
      <c r="AT29" s="1252">
        <v>3.38</v>
      </c>
      <c r="AU29" s="1252">
        <v>3.52</v>
      </c>
      <c r="AV29" s="1252">
        <v>3.34</v>
      </c>
      <c r="AW29" s="1252">
        <v>3.48</v>
      </c>
      <c r="AX29" s="1252">
        <v>2.74</v>
      </c>
      <c r="AY29" s="1252">
        <v>2.86</v>
      </c>
      <c r="AZ29" s="1252">
        <v>2.71</v>
      </c>
      <c r="BA29" s="1252">
        <v>2.83</v>
      </c>
      <c r="BB29" s="1252">
        <v>2.68</v>
      </c>
      <c r="BC29" s="1252">
        <v>2.8</v>
      </c>
      <c r="BD29" s="150">
        <f>IF($C$2=22.5,J29,IF($C$2=23.5,L29,IF($C$2=24.5,N29,IF($C$2=25.5,P29,IF($C$2=26.5,R29,IF($C$2=27.5,T29,IF($C$2=28.5,V29,IF($C$2=29.5,X29,IF($C$2=30.5,Z29,IF($C$2=31.5,AB29,IF($C$2=32.5,AD29,IF($C$2=33.5,AF29))))))))))))</f>
        <v>3.67</v>
      </c>
      <c r="BE29" s="150">
        <f>IF($C$2=22.5,K29,IF($C$2=23.5,M29,IF($C$2=24.5,O29,IF($C$2=25.5,Q29,IF($C$2=26.5,S29,IF($C$2=27.5,U29,IF($C$2=28.5,W29,IF($C$2=29.5,Y29,IF($C$2=30.5,AA29,IF($C$2=31.5,AC29,IF($C$2=32.5,AE29,IF($C$2=33.5,AG29))))))))))))</f>
        <v>3.81</v>
      </c>
      <c r="BF29" s="92">
        <f>IF('1.ข้อมูล'!$Q$16=0,BD29,IF('1.ข้อมูล'!$Q$16=1,BE29,IF('1.ข้อมูล'!$Q$16=2,BE29,)))</f>
        <v>3.67</v>
      </c>
    </row>
    <row r="30" spans="2:74" ht="21" thickBot="1">
      <c r="B30" s="148">
        <v>26</v>
      </c>
      <c r="C30" s="74">
        <f>IF($C$2=22.5,'S3'!A30,IF($C$2=23.5,'S3'!B30,IF($C$2=24.5,'S3'!C30,IF($C$2=25.5,'S3'!D30,IF($C$2=26.5,'S3'!E30,IF($C$2=27.5,'S3'!F30,IF($C$2=28.5,'S3'!G30,IF($C$2=29.5,'S3'!H30,IF($C$2=30.5,'S3'!I30,IF($C$2=31.5,'S3'!J30,IF($C$2=32.5,'S3'!K30,IF($C$2=33.5,'S3'!L30))))))))))))</f>
        <v>66.099999999999994</v>
      </c>
      <c r="D30" s="74">
        <f t="shared" si="1"/>
        <v>92.54</v>
      </c>
      <c r="E30" s="74">
        <f>IF($E$2=22.5,'S3'!Y30,IF($E$2=23.5,'S3'!Z30,IF($E$2=24.5,'S3'!AA30,IF($E$2=25.5,'S3'!AB30,IF($E$2=26.5,'S3'!AC30,IF($E$2=27.5,'S3'!AD30,IF($E$2=28.5,'S3'!AE30,IF($E$2=29.5,'S3'!AF30,IF($E$2=30.5,'S3'!AG30,IF($E$2=31.5,'S3'!AH30,IF($E$2=32.5,'S3'!AI30,IF($E$2=33.5,'S3'!AJ30))))))))))))</f>
        <v>41.05</v>
      </c>
      <c r="F30" s="74">
        <f t="shared" si="2"/>
        <v>57.47</v>
      </c>
      <c r="H30" s="145" t="s">
        <v>164</v>
      </c>
      <c r="I30" s="23" t="s">
        <v>77</v>
      </c>
      <c r="J30" s="135">
        <v>7.47</v>
      </c>
      <c r="K30" s="135">
        <v>7.89</v>
      </c>
      <c r="L30" s="135">
        <v>7.55</v>
      </c>
      <c r="M30" s="135">
        <v>7.97</v>
      </c>
      <c r="N30" s="135">
        <v>7.63</v>
      </c>
      <c r="O30" s="136">
        <v>8.0500000000000007</v>
      </c>
      <c r="P30" s="1248">
        <v>7.7</v>
      </c>
      <c r="Q30" s="1248">
        <v>8.1199999999999992</v>
      </c>
      <c r="R30" s="1248">
        <v>7.78</v>
      </c>
      <c r="S30" s="1248">
        <v>8.1999999999999993</v>
      </c>
      <c r="T30" s="1249">
        <v>7.86</v>
      </c>
      <c r="U30" s="1248">
        <v>8.2799999999999994</v>
      </c>
      <c r="V30" s="1248">
        <v>7.93</v>
      </c>
      <c r="W30" s="1249">
        <v>8.35</v>
      </c>
      <c r="X30" s="1249">
        <v>8.01</v>
      </c>
      <c r="Y30" s="1248">
        <v>8.43</v>
      </c>
      <c r="Z30" s="1248">
        <v>8.09</v>
      </c>
      <c r="AA30" s="1249">
        <v>8.51</v>
      </c>
      <c r="AB30" s="1248">
        <v>8.16</v>
      </c>
      <c r="AC30" s="1248">
        <v>8.58</v>
      </c>
      <c r="AD30" s="1250">
        <v>8.24</v>
      </c>
      <c r="AE30" s="1250">
        <v>8.66</v>
      </c>
      <c r="AF30" s="1251">
        <v>8.32</v>
      </c>
      <c r="AG30" s="1250">
        <v>8.74</v>
      </c>
      <c r="AH30" s="1250">
        <v>8.39</v>
      </c>
      <c r="AI30" s="1250">
        <v>8.81</v>
      </c>
      <c r="AJ30" s="1250">
        <v>8.4700000000000006</v>
      </c>
      <c r="AK30" s="1250">
        <v>8.89</v>
      </c>
      <c r="AL30" s="1252">
        <v>8.5399999999999991</v>
      </c>
      <c r="AM30" s="1252">
        <v>8.9600000000000009</v>
      </c>
      <c r="AN30" s="1252">
        <v>8.6199999999999992</v>
      </c>
      <c r="AO30" s="1252">
        <v>9.0399999999999991</v>
      </c>
      <c r="AP30" s="1252">
        <v>8.6999999999999993</v>
      </c>
      <c r="AQ30" s="1252">
        <v>9.1199999999999992</v>
      </c>
      <c r="AR30" s="1252">
        <v>8.77</v>
      </c>
      <c r="AS30" s="1252">
        <v>9.19</v>
      </c>
      <c r="AT30" s="1252">
        <v>7.4</v>
      </c>
      <c r="AU30" s="1252">
        <v>7.82</v>
      </c>
      <c r="AV30" s="1252">
        <v>7.32</v>
      </c>
      <c r="AW30" s="1252">
        <v>7.74</v>
      </c>
      <c r="AX30" s="1252">
        <v>5.79</v>
      </c>
      <c r="AY30" s="1252">
        <v>6.11</v>
      </c>
      <c r="AZ30" s="1252">
        <v>5.71</v>
      </c>
      <c r="BA30" s="1252">
        <v>6.04</v>
      </c>
      <c r="BB30" s="1252">
        <v>5.63</v>
      </c>
      <c r="BC30" s="1252">
        <v>5.96</v>
      </c>
      <c r="BD30" s="150">
        <f>IF($C$2=22.5,J30,IF($C$2=23.5,L30,IF($C$2=24.5,N30,IF($C$2=25.5,P30,IF($C$2=26.5,R30,IF($C$2=27.5,T30,IF($C$2=28.5,V30,IF($C$2=29.5,X30,IF($C$2=30.5,Z30,IF($C$2=31.5,AB30,IF($C$2=32.5,AD30,IF($C$2=33.5,AF30))))))))))))</f>
        <v>8.09</v>
      </c>
      <c r="BE30" s="150">
        <f>IF($C$2=22.5,K30,IF($C$2=23.5,M30,IF($C$2=24.5,O30,IF($C$2=25.5,Q30,IF($C$2=26.5,S30,IF($C$2=27.5,U30,IF($C$2=28.5,W30,IF($C$2=29.5,Y30,IF($C$2=30.5,AA30,IF($C$2=31.5,AC30,IF($C$2=32.5,AE30,IF($C$2=33.5,AG30))))))))))))</f>
        <v>8.51</v>
      </c>
      <c r="BF30" s="92">
        <f>IF('1.ข้อมูล'!$Q$16=0,BD30,IF('1.ข้อมูล'!$Q$16=1,BE30,IF('1.ข้อมูล'!$Q$16=2,BE30,)))</f>
        <v>8.09</v>
      </c>
    </row>
    <row r="31" spans="2:74" ht="21.75" thickBot="1">
      <c r="B31" s="148">
        <v>27</v>
      </c>
      <c r="C31" s="74">
        <f>IF($C$2=22.5,'S3'!A31,IF($C$2=23.5,'S3'!B31,IF($C$2=24.5,'S3'!C31,IF($C$2=25.5,'S3'!D31,IF($C$2=26.5,'S3'!E31,IF($C$2=27.5,'S3'!F31,IF($C$2=28.5,'S3'!G31,IF($C$2=29.5,'S3'!H31,IF($C$2=30.5,'S3'!I31,IF($C$2=31.5,'S3'!J31,IF($C$2=32.5,'S3'!K31,IF($C$2=33.5,'S3'!L31))))))))))))</f>
        <v>68.599999999999994</v>
      </c>
      <c r="D31" s="74">
        <f t="shared" si="1"/>
        <v>96.04</v>
      </c>
      <c r="E31" s="74">
        <f>IF($E$2=22.5,'S3'!Y31,IF($E$2=23.5,'S3'!Z31,IF($E$2=24.5,'S3'!AA31,IF($E$2=25.5,'S3'!AB31,IF($E$2=26.5,'S3'!AC31,IF($E$2=27.5,'S3'!AD31,IF($E$2=28.5,'S3'!AE31,IF($E$2=29.5,'S3'!AF31,IF($E$2=30.5,'S3'!AG31,IF($E$2=31.5,'S3'!AH31,IF($E$2=32.5,'S3'!AI31,IF($E$2=33.5,'S3'!AJ31))))))))))))</f>
        <v>42.61</v>
      </c>
      <c r="F31" s="74">
        <f t="shared" si="2"/>
        <v>59.65</v>
      </c>
      <c r="H31" s="145" t="s">
        <v>183</v>
      </c>
      <c r="I31" s="135"/>
      <c r="J31" s="135"/>
      <c r="K31" s="135"/>
      <c r="L31" s="135"/>
      <c r="M31" s="135"/>
      <c r="N31" s="135"/>
      <c r="O31" s="135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/>
      <c r="Z31" s="1248"/>
      <c r="AA31" s="1248"/>
      <c r="AB31" s="1248"/>
      <c r="AC31" s="1248"/>
      <c r="AD31" s="1250"/>
      <c r="AE31" s="1250"/>
      <c r="AF31" s="1250"/>
      <c r="AG31" s="1250"/>
      <c r="AH31" s="1250"/>
      <c r="AI31" s="1250"/>
      <c r="AJ31" s="1250"/>
      <c r="AK31" s="1250"/>
      <c r="AL31" s="1252"/>
      <c r="AM31" s="1252"/>
      <c r="AN31" s="1252"/>
      <c r="AO31" s="1252"/>
      <c r="AP31" s="1252"/>
      <c r="AQ31" s="1252"/>
      <c r="AR31" s="1252"/>
      <c r="AS31" s="1252"/>
      <c r="AT31" s="1252"/>
      <c r="AU31" s="1252"/>
      <c r="AV31" s="1252"/>
      <c r="AW31" s="1252"/>
      <c r="AX31" s="1252"/>
      <c r="AY31" s="1252"/>
      <c r="AZ31" s="1252"/>
      <c r="BA31" s="1252"/>
      <c r="BB31" s="1252"/>
      <c r="BC31" s="1252"/>
      <c r="BD31" s="135"/>
      <c r="BE31" s="135"/>
      <c r="BF31" s="135"/>
      <c r="BI31" s="1887" t="s">
        <v>169</v>
      </c>
      <c r="BJ31" s="1888"/>
      <c r="BK31" s="157" t="s">
        <v>280</v>
      </c>
      <c r="BL31" s="156" t="b">
        <f>IF('1.ข้อมูล'!$Q$15=0,'S2-2'!$BI$17,IF('1.ข้อมูล'!$Q$15=1,'S2-2'!$BJ$17,IF('1.ข้อมูล'!$Q$15=2,'S2-2'!$BK$17)))</f>
        <v>0</v>
      </c>
    </row>
    <row r="32" spans="2:74">
      <c r="B32" s="148">
        <v>28</v>
      </c>
      <c r="C32" s="74">
        <f>IF($C$2=22.5,'S3'!A32,IF($C$2=23.5,'S3'!B32,IF($C$2=24.5,'S3'!C32,IF($C$2=25.5,'S3'!D32,IF($C$2=26.5,'S3'!E32,IF($C$2=27.5,'S3'!F32,IF($C$2=28.5,'S3'!G32,IF($C$2=29.5,'S3'!H32,IF($C$2=30.5,'S3'!I32,IF($C$2=31.5,'S3'!J32,IF($C$2=32.5,'S3'!K32,IF($C$2=33.5,'S3'!L32))))))))))))</f>
        <v>71.09</v>
      </c>
      <c r="D32" s="74">
        <f t="shared" si="1"/>
        <v>99.53</v>
      </c>
      <c r="E32" s="74">
        <f>IF($E$2=22.5,'S3'!Y32,IF($E$2=23.5,'S3'!Z32,IF($E$2=24.5,'S3'!AA32,IF($E$2=25.5,'S3'!AB32,IF($E$2=26.5,'S3'!AC32,IF($E$2=27.5,'S3'!AD32,IF($E$2=28.5,'S3'!AE32,IF($E$2=29.5,'S3'!AF32,IF($E$2=30.5,'S3'!AG32,IF($E$2=31.5,'S3'!AH32,IF($E$2=32.5,'S3'!AI32,IF($E$2=33.5,'S3'!AJ32))))))))))))</f>
        <v>44.17</v>
      </c>
      <c r="F32" s="74">
        <f t="shared" si="2"/>
        <v>61.84</v>
      </c>
      <c r="H32" s="135" t="s">
        <v>184</v>
      </c>
      <c r="I32" s="146" t="s">
        <v>185</v>
      </c>
      <c r="J32" s="135">
        <v>19.96</v>
      </c>
      <c r="K32" s="135">
        <v>20.73</v>
      </c>
      <c r="L32" s="136">
        <v>20.149999999999999</v>
      </c>
      <c r="M32" s="136">
        <v>20.92</v>
      </c>
      <c r="N32" s="135">
        <v>20.34</v>
      </c>
      <c r="O32" s="135">
        <v>21.11</v>
      </c>
      <c r="P32" s="1248">
        <v>20.53</v>
      </c>
      <c r="Q32" s="1249">
        <v>21.3</v>
      </c>
      <c r="R32" s="1248">
        <v>20.71</v>
      </c>
      <c r="S32" s="1248">
        <v>21.48</v>
      </c>
      <c r="T32" s="1248">
        <v>20.9</v>
      </c>
      <c r="U32" s="1248">
        <v>21.67</v>
      </c>
      <c r="V32" s="1249">
        <v>21.09</v>
      </c>
      <c r="W32" s="1248">
        <v>21.86</v>
      </c>
      <c r="X32" s="1248">
        <v>21.28</v>
      </c>
      <c r="Y32" s="1248">
        <v>22.05</v>
      </c>
      <c r="Z32" s="1248">
        <v>21.47</v>
      </c>
      <c r="AA32" s="1248">
        <v>22.24</v>
      </c>
      <c r="AB32" s="1248">
        <v>21.65</v>
      </c>
      <c r="AC32" s="1249">
        <v>22.42</v>
      </c>
      <c r="AD32" s="1250">
        <v>21.84</v>
      </c>
      <c r="AE32" s="1250">
        <v>22.61</v>
      </c>
      <c r="AF32" s="1250">
        <v>22.03</v>
      </c>
      <c r="AG32" s="1250">
        <v>22.8</v>
      </c>
      <c r="AH32" s="1250">
        <v>22.22</v>
      </c>
      <c r="AI32" s="1250">
        <v>22.99</v>
      </c>
      <c r="AJ32" s="1250">
        <v>22.41</v>
      </c>
      <c r="AK32" s="1250">
        <v>23.18</v>
      </c>
      <c r="AL32" s="1252">
        <v>22.59</v>
      </c>
      <c r="AM32" s="1252">
        <v>23.36</v>
      </c>
      <c r="AN32" s="1252">
        <v>22.78</v>
      </c>
      <c r="AO32" s="1252">
        <v>23.55</v>
      </c>
      <c r="AP32" s="1252">
        <v>22.97</v>
      </c>
      <c r="AQ32" s="1252">
        <v>23.74</v>
      </c>
      <c r="AR32" s="1253">
        <v>23.16</v>
      </c>
      <c r="AS32" s="1252">
        <v>23.93</v>
      </c>
      <c r="AT32" s="1252">
        <v>19.78</v>
      </c>
      <c r="AU32" s="1252">
        <v>20.55</v>
      </c>
      <c r="AV32" s="1252">
        <v>19.59</v>
      </c>
      <c r="AW32" s="1252">
        <v>20.36</v>
      </c>
      <c r="AX32" s="1252">
        <v>16.739999999999998</v>
      </c>
      <c r="AY32" s="1252">
        <v>17.48</v>
      </c>
      <c r="AZ32" s="1252">
        <v>16.559999999999999</v>
      </c>
      <c r="BA32" s="1252">
        <v>17.29</v>
      </c>
      <c r="BB32" s="1252">
        <v>16.37</v>
      </c>
      <c r="BC32" s="1252">
        <v>17.100000000000001</v>
      </c>
      <c r="BD32" s="150">
        <f>IF($C$2=22.5,J32,IF($C$2=23.5,L32,IF($C$2=24.5,N32,IF($C$2=25.5,P32,IF($C$2=26.5,R32,IF($C$2=27.5,T32,IF($C$2=28.5,V32,IF($C$2=29.5,X32,IF($C$2=30.5,Z32,IF($C$2=31.5,AB32,IF($C$2=32.5,AD32,IF($C$2=33.5,AF32))))))))))))</f>
        <v>21.47</v>
      </c>
      <c r="BE32" s="150">
        <f>IF($C$2=22.5,K32,IF($C$2=23.5,M32,IF($C$2=24.5,O32,IF($C$2=25.5,Q32,IF($C$2=26.5,S32,IF($C$2=27.5,U32,IF($C$2=28.5,W32,IF($C$2=29.5,Y32,IF($C$2=30.5,AA32,IF($C$2=31.5,AC32,IF($C$2=32.5,AE32,IF($C$2=33.5,AG32))))))))))))</f>
        <v>22.24</v>
      </c>
      <c r="BF32" s="92">
        <f>IF('1.ข้อมูล'!$Q$16=0,BD32,IF('1.ข้อมูล'!$Q$16=1,BE32,IF('1.ข้อมูล'!$Q$16=2,BE32,)))</f>
        <v>21.47</v>
      </c>
    </row>
    <row r="33" spans="2:58">
      <c r="B33" s="148">
        <v>29</v>
      </c>
      <c r="C33" s="74">
        <f>IF($C$2=22.5,'S3'!A33,IF($C$2=23.5,'S3'!B33,IF($C$2=24.5,'S3'!C33,IF($C$2=25.5,'S3'!D33,IF($C$2=26.5,'S3'!E33,IF($C$2=27.5,'S3'!F33,IF($C$2=28.5,'S3'!G33,IF($C$2=29.5,'S3'!H33,IF($C$2=30.5,'S3'!I33,IF($C$2=31.5,'S3'!J33,IF($C$2=32.5,'S3'!K33,IF($C$2=33.5,'S3'!L33))))))))))))</f>
        <v>73.569999999999993</v>
      </c>
      <c r="D33" s="74">
        <f t="shared" si="1"/>
        <v>103</v>
      </c>
      <c r="E33" s="74">
        <f>IF($E$2=22.5,'S3'!Y33,IF($E$2=23.5,'S3'!Z33,IF($E$2=24.5,'S3'!AA33,IF($E$2=25.5,'S3'!AB33,IF($E$2=26.5,'S3'!AC33,IF($E$2=27.5,'S3'!AD33,IF($E$2=28.5,'S3'!AE33,IF($E$2=29.5,'S3'!AF33,IF($E$2=30.5,'S3'!AG33,IF($E$2=31.5,'S3'!AH33,IF($E$2=32.5,'S3'!AI33,IF($E$2=33.5,'S3'!AJ33))))))))))))</f>
        <v>45.72</v>
      </c>
      <c r="F33" s="74">
        <f t="shared" si="2"/>
        <v>64.010000000000005</v>
      </c>
      <c r="H33" s="145" t="s">
        <v>186</v>
      </c>
      <c r="I33" s="135"/>
      <c r="J33" s="135"/>
      <c r="K33" s="135"/>
      <c r="L33" s="135"/>
      <c r="M33" s="135"/>
      <c r="N33" s="135"/>
      <c r="O33" s="135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  <c r="AB33" s="1248"/>
      <c r="AC33" s="1248"/>
      <c r="AD33" s="1250"/>
      <c r="AE33" s="1250"/>
      <c r="AF33" s="1250"/>
      <c r="AG33" s="1250"/>
      <c r="AH33" s="1250"/>
      <c r="AI33" s="1250"/>
      <c r="AJ33" s="1250"/>
      <c r="AK33" s="1250"/>
      <c r="AL33" s="1252"/>
      <c r="AM33" s="1252"/>
      <c r="AN33" s="1252"/>
      <c r="AO33" s="1252"/>
      <c r="AP33" s="1252"/>
      <c r="AQ33" s="1252"/>
      <c r="AR33" s="1252"/>
      <c r="AS33" s="1252"/>
      <c r="AT33" s="1252"/>
      <c r="AU33" s="1252"/>
      <c r="AV33" s="1252"/>
      <c r="AW33" s="1252"/>
      <c r="AX33" s="1252"/>
      <c r="AY33" s="1252"/>
      <c r="AZ33" s="1252"/>
      <c r="BA33" s="1252"/>
      <c r="BB33" s="1252"/>
      <c r="BC33" s="1252"/>
      <c r="BD33" s="135"/>
      <c r="BE33" s="135"/>
      <c r="BF33" s="135"/>
    </row>
    <row r="34" spans="2:58">
      <c r="B34" s="148">
        <v>30</v>
      </c>
      <c r="C34" s="74">
        <f>IF($C$2=22.5,'S3'!A34,IF($C$2=23.5,'S3'!B34,IF($C$2=24.5,'S3'!C34,IF($C$2=25.5,'S3'!D34,IF($C$2=26.5,'S3'!E34,IF($C$2=27.5,'S3'!F34,IF($C$2=28.5,'S3'!G34,IF($C$2=29.5,'S3'!H34,IF($C$2=30.5,'S3'!I34,IF($C$2=31.5,'S3'!J34,IF($C$2=32.5,'S3'!K34,IF($C$2=33.5,'S3'!L34))))))))))))</f>
        <v>76.08</v>
      </c>
      <c r="D34" s="74">
        <f t="shared" si="1"/>
        <v>106.51</v>
      </c>
      <c r="E34" s="74">
        <f>IF($E$2=22.5,'S3'!Y34,IF($E$2=23.5,'S3'!Z34,IF($E$2=24.5,'S3'!AA34,IF($E$2=25.5,'S3'!AB34,IF($E$2=26.5,'S3'!AC34,IF($E$2=27.5,'S3'!AD34,IF($E$2=28.5,'S3'!AE34,IF($E$2=29.5,'S3'!AF34,IF($E$2=30.5,'S3'!AG34,IF($E$2=31.5,'S3'!AH34,IF($E$2=32.5,'S3'!AI34,IF($E$2=33.5,'S3'!AJ34))))))))))))</f>
        <v>47.28</v>
      </c>
      <c r="F34" s="74">
        <f t="shared" si="2"/>
        <v>66.19</v>
      </c>
      <c r="H34" s="135" t="s">
        <v>187</v>
      </c>
      <c r="I34" s="23" t="s">
        <v>75</v>
      </c>
      <c r="J34" s="135">
        <v>20.04</v>
      </c>
      <c r="K34" s="135">
        <v>20.92</v>
      </c>
      <c r="L34" s="136">
        <v>20.260000000000002</v>
      </c>
      <c r="M34" s="135">
        <v>21.14</v>
      </c>
      <c r="N34" s="135">
        <v>20.47</v>
      </c>
      <c r="O34" s="135">
        <v>21.35</v>
      </c>
      <c r="P34" s="1248">
        <v>20.69</v>
      </c>
      <c r="Q34" s="1249">
        <v>21.57</v>
      </c>
      <c r="R34" s="1248">
        <v>20.71</v>
      </c>
      <c r="S34" s="1248">
        <v>21.48</v>
      </c>
      <c r="T34" s="1248">
        <v>21.12</v>
      </c>
      <c r="U34" s="1248">
        <v>22</v>
      </c>
      <c r="V34" s="1248">
        <v>21.34</v>
      </c>
      <c r="W34" s="1249">
        <v>22.22</v>
      </c>
      <c r="X34" s="1248">
        <v>21.55</v>
      </c>
      <c r="Y34" s="1248">
        <v>22.43</v>
      </c>
      <c r="Z34" s="1248">
        <v>21.77</v>
      </c>
      <c r="AA34" s="1248">
        <v>22.65</v>
      </c>
      <c r="AB34" s="1248">
        <v>21.98</v>
      </c>
      <c r="AC34" s="1248">
        <v>22.86</v>
      </c>
      <c r="AD34" s="1251">
        <v>22.2</v>
      </c>
      <c r="AE34" s="1250">
        <v>23.08</v>
      </c>
      <c r="AF34" s="1250">
        <v>22.41</v>
      </c>
      <c r="AG34" s="1250">
        <v>23.29</v>
      </c>
      <c r="AH34" s="1250">
        <v>22.63</v>
      </c>
      <c r="AI34" s="1251">
        <v>23.51</v>
      </c>
      <c r="AJ34" s="1250">
        <v>22.84</v>
      </c>
      <c r="AK34" s="1250">
        <v>23.72</v>
      </c>
      <c r="AL34" s="1252">
        <v>23.06</v>
      </c>
      <c r="AM34" s="1252">
        <v>23.94</v>
      </c>
      <c r="AN34" s="1252">
        <v>23.28</v>
      </c>
      <c r="AO34" s="1252">
        <v>24.16</v>
      </c>
      <c r="AP34" s="1252">
        <v>23.49</v>
      </c>
      <c r="AQ34" s="1253">
        <v>24.37</v>
      </c>
      <c r="AR34" s="1252">
        <v>23.71</v>
      </c>
      <c r="AS34" s="1253">
        <v>24.59</v>
      </c>
      <c r="AT34" s="1253">
        <v>19.829999999999998</v>
      </c>
      <c r="AU34" s="1253">
        <v>20.71</v>
      </c>
      <c r="AV34" s="1253">
        <v>19.61</v>
      </c>
      <c r="AW34" s="1253">
        <v>20.49</v>
      </c>
      <c r="AX34" s="1253">
        <v>16.940000000000001</v>
      </c>
      <c r="AY34" s="1253">
        <v>17.809999999999999</v>
      </c>
      <c r="AZ34" s="1253">
        <v>16.72</v>
      </c>
      <c r="BA34" s="1253">
        <v>17.59</v>
      </c>
      <c r="BB34" s="1253">
        <v>16.510000000000002</v>
      </c>
      <c r="BC34" s="1253">
        <v>17.38</v>
      </c>
      <c r="BD34" s="150">
        <f>IF($C$2=22.5,J34,IF($C$2=23.5,L34,IF($C$2=24.5,N34,IF($C$2=25.5,P34,IF($C$2=26.5,R34,IF($C$2=27.5,T34,IF($C$2=28.5,V34,IF($C$2=29.5,X34,IF($C$2=30.5,Z34,IF($C$2=31.5,AB34,IF($C$2=32.5,AD34,IF($C$2=33.5,AF34))))))))))))</f>
        <v>21.77</v>
      </c>
      <c r="BE34" s="150">
        <f>IF($C$2=22.5,K34,IF($C$2=23.5,M34,IF($C$2=24.5,O34,IF($C$2=25.5,Q34,IF($C$2=26.5,S34,IF($C$2=27.5,U34,IF($C$2=28.5,W34,IF($C$2=29.5,Y34,IF($C$2=30.5,AA34,IF($C$2=31.5,AC34,IF($C$2=32.5,AE34,IF($C$2=33.5,AG34))))))))))))</f>
        <v>22.65</v>
      </c>
      <c r="BF34" s="92">
        <f>IF('1.ข้อมูล'!$Q$16=0,BD34,IF('1.ข้อมูล'!$Q$16=1,BE34,IF('1.ข้อมูล'!$Q$16=2,BE34,)))</f>
        <v>21.77</v>
      </c>
    </row>
    <row r="35" spans="2:58">
      <c r="B35" s="148">
        <v>31</v>
      </c>
      <c r="C35" s="74">
        <f>IF($C$2=22.5,'S3'!A35,IF($C$2=23.5,'S3'!B35,IF($C$2=24.5,'S3'!C35,IF($C$2=25.5,'S3'!D35,IF($C$2=26.5,'S3'!E35,IF($C$2=27.5,'S3'!F35,IF($C$2=28.5,'S3'!G35,IF($C$2=29.5,'S3'!H35,IF($C$2=30.5,'S3'!I35,IF($C$2=31.5,'S3'!J35,IF($C$2=32.5,'S3'!K35,IF($C$2=33.5,'S3'!L35))))))))))))</f>
        <v>78.56</v>
      </c>
      <c r="D35" s="74">
        <f t="shared" si="1"/>
        <v>109.98</v>
      </c>
      <c r="E35" s="74">
        <f>IF($E$2=22.5,'S3'!Y35,IF($E$2=23.5,'S3'!Z35,IF($E$2=24.5,'S3'!AA35,IF($E$2=25.5,'S3'!AB35,IF($E$2=26.5,'S3'!AC35,IF($E$2=27.5,'S3'!AD35,IF($E$2=28.5,'S3'!AE35,IF($E$2=29.5,'S3'!AF35,IF($E$2=30.5,'S3'!AG35,IF($E$2=31.5,'S3'!AH35,IF($E$2=32.5,'S3'!AI35,IF($E$2=33.5,'S3'!AJ35))))))))))))</f>
        <v>48.83</v>
      </c>
      <c r="F35" s="74">
        <f t="shared" si="2"/>
        <v>68.36</v>
      </c>
      <c r="H35" s="135" t="s">
        <v>188</v>
      </c>
      <c r="I35" s="23" t="s">
        <v>77</v>
      </c>
      <c r="J35" s="136">
        <v>42.33</v>
      </c>
      <c r="K35" s="135">
        <v>45.03</v>
      </c>
      <c r="L35" s="135">
        <v>42.78</v>
      </c>
      <c r="M35" s="135">
        <v>45.48</v>
      </c>
      <c r="N35" s="135">
        <v>43.23</v>
      </c>
      <c r="O35" s="135">
        <v>45.93</v>
      </c>
      <c r="P35" s="1248">
        <v>43.68</v>
      </c>
      <c r="Q35" s="1248">
        <v>46.38</v>
      </c>
      <c r="R35" s="1248">
        <v>44.13</v>
      </c>
      <c r="S35" s="1248">
        <v>46.83</v>
      </c>
      <c r="T35" s="1248">
        <v>44.58</v>
      </c>
      <c r="U35" s="1248">
        <v>47.28</v>
      </c>
      <c r="V35" s="1248">
        <v>45.03</v>
      </c>
      <c r="W35" s="1248">
        <v>47.73</v>
      </c>
      <c r="X35" s="1248">
        <v>45.49</v>
      </c>
      <c r="Y35" s="1248">
        <v>48.19</v>
      </c>
      <c r="Z35" s="1248">
        <v>45.94</v>
      </c>
      <c r="AA35" s="1248">
        <v>48.64</v>
      </c>
      <c r="AB35" s="1248">
        <v>46.39</v>
      </c>
      <c r="AC35" s="1248">
        <v>49.09</v>
      </c>
      <c r="AD35" s="1250">
        <v>46.84</v>
      </c>
      <c r="AE35" s="1250">
        <v>49.54</v>
      </c>
      <c r="AF35" s="1250">
        <v>47.29</v>
      </c>
      <c r="AG35" s="1250">
        <v>49.99</v>
      </c>
      <c r="AH35" s="1250">
        <v>47.74</v>
      </c>
      <c r="AI35" s="1250">
        <v>50.44</v>
      </c>
      <c r="AJ35" s="1250">
        <v>48.19</v>
      </c>
      <c r="AK35" s="1250">
        <v>50.89</v>
      </c>
      <c r="AL35" s="1252">
        <v>48.64</v>
      </c>
      <c r="AM35" s="1252">
        <v>51.34</v>
      </c>
      <c r="AN35" s="1253">
        <v>49.09</v>
      </c>
      <c r="AO35" s="1252">
        <v>51.79</v>
      </c>
      <c r="AP35" s="1252">
        <v>49.54</v>
      </c>
      <c r="AQ35" s="1252">
        <v>52.24</v>
      </c>
      <c r="AR35" s="1253">
        <v>49.99</v>
      </c>
      <c r="AS35" s="1252">
        <v>52.69</v>
      </c>
      <c r="AT35" s="1253">
        <v>41.88</v>
      </c>
      <c r="AU35" s="1253">
        <v>44.58</v>
      </c>
      <c r="AV35" s="1253">
        <v>41.43</v>
      </c>
      <c r="AW35" s="1253">
        <v>44.13</v>
      </c>
      <c r="AX35" s="1253">
        <v>31.48</v>
      </c>
      <c r="AY35" s="1253">
        <v>33.46</v>
      </c>
      <c r="AZ35" s="1253">
        <v>31.03</v>
      </c>
      <c r="BA35" s="1253">
        <v>33.01</v>
      </c>
      <c r="BB35" s="1253">
        <v>30.58</v>
      </c>
      <c r="BC35" s="1253">
        <v>32.56</v>
      </c>
      <c r="BD35" s="150">
        <f>IF($C$2=22.5,J35,IF($C$2=23.5,L35,IF($C$2=24.5,N35,IF($C$2=25.5,P35,IF($C$2=26.5,R35,IF($C$2=27.5,T35,IF($C$2=28.5,V35,IF($C$2=29.5,X35,IF($C$2=30.5,Z35,IF($C$2=31.5,AB35,IF($C$2=32.5,AD35,IF($C$2=33.5,AF35))))))))))))</f>
        <v>45.94</v>
      </c>
      <c r="BE35" s="150">
        <f>IF($C$2=22.5,K35,IF($C$2=23.5,M35,IF($C$2=24.5,O35,IF($C$2=25.5,Q35,IF($C$2=26.5,S35,IF($C$2=27.5,U35,IF($C$2=28.5,W35,IF($C$2=29.5,Y35,IF($C$2=30.5,AA35,IF($C$2=31.5,AC35,IF($C$2=32.5,AE35,IF($C$2=33.5,AG35))))))))))))</f>
        <v>48.64</v>
      </c>
      <c r="BF35" s="92">
        <f>IF('1.ข้อมูล'!$Q$16=0,BD35,IF('1.ข้อมูล'!$Q$16=1,BE35,IF('1.ข้อมูล'!$Q$16=2,BE35,)))</f>
        <v>45.94</v>
      </c>
    </row>
    <row r="36" spans="2:58">
      <c r="B36" s="148">
        <v>32</v>
      </c>
      <c r="C36" s="74">
        <f>IF($C$2=22.5,'S3'!A36,IF($C$2=23.5,'S3'!B36,IF($C$2=24.5,'S3'!C36,IF($C$2=25.5,'S3'!D36,IF($C$2=26.5,'S3'!E36,IF($C$2=27.5,'S3'!F36,IF($C$2=28.5,'S3'!G36,IF($C$2=29.5,'S3'!H36,IF($C$2=30.5,'S3'!I36,IF($C$2=31.5,'S3'!J36,IF($C$2=32.5,'S3'!K36,IF($C$2=33.5,'S3'!L36))))))))))))</f>
        <v>81.069999999999993</v>
      </c>
      <c r="D36" s="74">
        <f t="shared" si="1"/>
        <v>113.5</v>
      </c>
      <c r="E36" s="74">
        <f>IF($E$2=22.5,'S3'!Y36,IF($E$2=23.5,'S3'!Z36,IF($E$2=24.5,'S3'!AA36,IF($E$2=25.5,'S3'!AB36,IF($E$2=26.5,'S3'!AC36,IF($E$2=27.5,'S3'!AD36,IF($E$2=28.5,'S3'!AE36,IF($E$2=29.5,'S3'!AF36,IF($E$2=30.5,'S3'!AG36,IF($E$2=31.5,'S3'!AH36,IF($E$2=32.5,'S3'!AI36,IF($E$2=33.5,'S3'!AJ36))))))))))))</f>
        <v>50.39</v>
      </c>
      <c r="F36" s="74">
        <f t="shared" si="2"/>
        <v>70.55</v>
      </c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</row>
    <row r="37" spans="2:58">
      <c r="B37" s="148">
        <v>33</v>
      </c>
      <c r="C37" s="74">
        <f>IF($C$2=22.5,'S3'!A37,IF($C$2=23.5,'S3'!B37,IF($C$2=24.5,'S3'!C37,IF($C$2=25.5,'S3'!D37,IF($C$2=26.5,'S3'!E37,IF($C$2=27.5,'S3'!F37,IF($C$2=28.5,'S3'!G37,IF($C$2=29.5,'S3'!H37,IF($C$2=30.5,'S3'!I37,IF($C$2=31.5,'S3'!J37,IF($C$2=32.5,'S3'!K37,IF($C$2=33.5,'S3'!L37))))))))))))</f>
        <v>83.56</v>
      </c>
      <c r="D37" s="74">
        <f t="shared" si="1"/>
        <v>116.98</v>
      </c>
      <c r="E37" s="74">
        <f>IF($E$2=22.5,'S3'!Y37,IF($E$2=23.5,'S3'!Z37,IF($E$2=24.5,'S3'!AA37,IF($E$2=25.5,'S3'!AB37,IF($E$2=26.5,'S3'!AC37,IF($E$2=27.5,'S3'!AD37,IF($E$2=28.5,'S3'!AE37,IF($E$2=29.5,'S3'!AF37,IF($E$2=30.5,'S3'!AG37,IF($E$2=31.5,'S3'!AH37,IF($E$2=32.5,'S3'!AI37,IF($E$2=33.5,'S3'!AJ37))))))))))))</f>
        <v>51.94</v>
      </c>
      <c r="F37" s="74">
        <f t="shared" si="2"/>
        <v>72.72</v>
      </c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</row>
    <row r="38" spans="2:58">
      <c r="B38" s="148">
        <v>34</v>
      </c>
      <c r="C38" s="74">
        <f>IF($C$2=22.5,'S3'!A38,IF($C$2=23.5,'S3'!B38,IF($C$2=24.5,'S3'!C38,IF($C$2=25.5,'S3'!D38,IF($C$2=26.5,'S3'!E38,IF($C$2=27.5,'S3'!F38,IF($C$2=28.5,'S3'!G38,IF($C$2=29.5,'S3'!H38,IF($C$2=30.5,'S3'!I38,IF($C$2=31.5,'S3'!J38,IF($C$2=32.5,'S3'!K38,IF($C$2=33.5,'S3'!L38))))))))))))</f>
        <v>86.06</v>
      </c>
      <c r="D38" s="74">
        <f t="shared" si="1"/>
        <v>120.48</v>
      </c>
      <c r="E38" s="74">
        <f>IF($E$2=22.5,'S3'!Y38,IF($E$2=23.5,'S3'!Z38,IF($E$2=24.5,'S3'!AA38,IF($E$2=25.5,'S3'!AB38,IF($E$2=26.5,'S3'!AC38,IF($E$2=27.5,'S3'!AD38,IF($E$2=28.5,'S3'!AE38,IF($E$2=29.5,'S3'!AF38,IF($E$2=30.5,'S3'!AG38,IF($E$2=31.5,'S3'!AH38,IF($E$2=32.5,'S3'!AI38,IF($E$2=33.5,'S3'!AJ38))))))))))))</f>
        <v>53.5</v>
      </c>
      <c r="F38" s="74">
        <f t="shared" si="2"/>
        <v>74.900000000000006</v>
      </c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</row>
    <row r="39" spans="2:58">
      <c r="B39" s="148">
        <v>35</v>
      </c>
      <c r="C39" s="74">
        <f>IF($C$2=22.5,'S3'!A39,IF($C$2=23.5,'S3'!B39,IF($C$2=24.5,'S3'!C39,IF($C$2=25.5,'S3'!D39,IF($C$2=26.5,'S3'!E39,IF($C$2=27.5,'S3'!F39,IF($C$2=28.5,'S3'!G39,IF($C$2=29.5,'S3'!H39,IF($C$2=30.5,'S3'!I39,IF($C$2=31.5,'S3'!J39,IF($C$2=32.5,'S3'!K39,IF($C$2=33.5,'S3'!L39))))))))))))</f>
        <v>88.54</v>
      </c>
      <c r="D39" s="74">
        <f t="shared" si="1"/>
        <v>123.96</v>
      </c>
      <c r="E39" s="74">
        <f>IF($E$2=22.5,'S3'!Y39,IF($E$2=23.5,'S3'!Z39,IF($E$2=24.5,'S3'!AA39,IF($E$2=25.5,'S3'!AB39,IF($E$2=26.5,'S3'!AC39,IF($E$2=27.5,'S3'!AD39,IF($E$2=28.5,'S3'!AE39,IF($E$2=29.5,'S3'!AF39,IF($E$2=30.5,'S3'!AG39,IF($E$2=31.5,'S3'!AH39,IF($E$2=32.5,'S3'!AI39,IF($E$2=33.5,'S3'!AJ39))))))))))))</f>
        <v>55.05</v>
      </c>
      <c r="F39" s="74">
        <f t="shared" si="2"/>
        <v>77.069999999999993</v>
      </c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</row>
    <row r="40" spans="2:58">
      <c r="B40" s="148">
        <v>36</v>
      </c>
      <c r="C40" s="74">
        <f>IF($C$2=22.5,'S3'!A40,IF($C$2=23.5,'S3'!B40,IF($C$2=24.5,'S3'!C40,IF($C$2=25.5,'S3'!D40,IF($C$2=26.5,'S3'!E40,IF($C$2=27.5,'S3'!F40,IF($C$2=28.5,'S3'!G40,IF($C$2=29.5,'S3'!H40,IF($C$2=30.5,'S3'!I40,IF($C$2=31.5,'S3'!J40,IF($C$2=32.5,'S3'!K40,IF($C$2=33.5,'S3'!L40))))))))))))</f>
        <v>91.04</v>
      </c>
      <c r="D40" s="74">
        <f t="shared" si="1"/>
        <v>127.46</v>
      </c>
      <c r="E40" s="74">
        <f>IF($E$2=22.5,'S3'!Y40,IF($E$2=23.5,'S3'!Z40,IF($E$2=24.5,'S3'!AA40,IF($E$2=25.5,'S3'!AB40,IF($E$2=26.5,'S3'!AC40,IF($E$2=27.5,'S3'!AD40,IF($E$2=28.5,'S3'!AE40,IF($E$2=29.5,'S3'!AF40,IF($E$2=30.5,'S3'!AG40,IF($E$2=31.5,'S3'!AH40,IF($E$2=32.5,'S3'!AI40,IF($E$2=33.5,'S3'!AJ40))))))))))))</f>
        <v>56.61</v>
      </c>
      <c r="F40" s="74">
        <f t="shared" si="2"/>
        <v>79.25</v>
      </c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</row>
    <row r="41" spans="2:58">
      <c r="B41" s="148">
        <v>37</v>
      </c>
      <c r="C41" s="74">
        <f>IF($C$2=22.5,'S3'!A41,IF($C$2=23.5,'S3'!B41,IF($C$2=24.5,'S3'!C41,IF($C$2=25.5,'S3'!D41,IF($C$2=26.5,'S3'!E41,IF($C$2=27.5,'S3'!F41,IF($C$2=28.5,'S3'!G41,IF($C$2=29.5,'S3'!H41,IF($C$2=30.5,'S3'!I41,IF($C$2=31.5,'S3'!J41,IF($C$2=32.5,'S3'!K41,IF($C$2=33.5,'S3'!L41))))))))))))</f>
        <v>93.54</v>
      </c>
      <c r="D41" s="74">
        <f t="shared" si="1"/>
        <v>130.96</v>
      </c>
      <c r="E41" s="74">
        <f>IF($E$2=22.5,'S3'!Y41,IF($E$2=23.5,'S3'!Z41,IF($E$2=24.5,'S3'!AA41,IF($E$2=25.5,'S3'!AB41,IF($E$2=26.5,'S3'!AC41,IF($E$2=27.5,'S3'!AD41,IF($E$2=28.5,'S3'!AE41,IF($E$2=29.5,'S3'!AF41,IF($E$2=30.5,'S3'!AG41,IF($E$2=31.5,'S3'!AH41,IF($E$2=32.5,'S3'!AI41,IF($E$2=33.5,'S3'!AJ41))))))))))))</f>
        <v>58.16</v>
      </c>
      <c r="F41" s="74">
        <f t="shared" si="2"/>
        <v>81.42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2:58">
      <c r="B42" s="148">
        <v>38</v>
      </c>
      <c r="C42" s="74">
        <f>IF($C$2=22.5,'S3'!A42,IF($C$2=23.5,'S3'!B42,IF($C$2=24.5,'S3'!C42,IF($C$2=25.5,'S3'!D42,IF($C$2=26.5,'S3'!E42,IF($C$2=27.5,'S3'!F42,IF($C$2=28.5,'S3'!G42,IF($C$2=29.5,'S3'!H42,IF($C$2=30.5,'S3'!I42,IF($C$2=31.5,'S3'!J42,IF($C$2=32.5,'S3'!K42,IF($C$2=33.5,'S3'!L42))))))))))))</f>
        <v>96.04</v>
      </c>
      <c r="D42" s="74">
        <f t="shared" si="1"/>
        <v>134.46</v>
      </c>
      <c r="E42" s="74">
        <f>IF($E$2=22.5,'S3'!Y42,IF($E$2=23.5,'S3'!Z42,IF($E$2=24.5,'S3'!AA42,IF($E$2=25.5,'S3'!AB42,IF($E$2=26.5,'S3'!AC42,IF($E$2=27.5,'S3'!AD42,IF($E$2=28.5,'S3'!AE42,IF($E$2=29.5,'S3'!AF42,IF($E$2=30.5,'S3'!AG42,IF($E$2=31.5,'S3'!AH42,IF($E$2=32.5,'S3'!AI42,IF($E$2=33.5,'S3'!AJ42))))))))))))</f>
        <v>59.72</v>
      </c>
      <c r="F42" s="74">
        <f t="shared" si="2"/>
        <v>83.61</v>
      </c>
    </row>
    <row r="43" spans="2:58">
      <c r="B43" s="148">
        <v>39</v>
      </c>
      <c r="C43" s="74">
        <f>IF($C$2=22.5,'S3'!A43,IF($C$2=23.5,'S3'!B43,IF($C$2=24.5,'S3'!C43,IF($C$2=25.5,'S3'!D43,IF($C$2=26.5,'S3'!E43,IF($C$2=27.5,'S3'!F43,IF($C$2=28.5,'S3'!G43,IF($C$2=29.5,'S3'!H43,IF($C$2=30.5,'S3'!I43,IF($C$2=31.5,'S3'!J43,IF($C$2=32.5,'S3'!K43,IF($C$2=33.5,'S3'!L43))))))))))))</f>
        <v>98.53</v>
      </c>
      <c r="D43" s="74">
        <f t="shared" si="1"/>
        <v>137.94</v>
      </c>
      <c r="E43" s="74">
        <f>IF($E$2=22.5,'S3'!Y43,IF($E$2=23.5,'S3'!Z43,IF($E$2=24.5,'S3'!AA43,IF($E$2=25.5,'S3'!AB43,IF($E$2=26.5,'S3'!AC43,IF($E$2=27.5,'S3'!AD43,IF($E$2=28.5,'S3'!AE43,IF($E$2=29.5,'S3'!AF43,IF($E$2=30.5,'S3'!AG43,IF($E$2=31.5,'S3'!AH43,IF($E$2=32.5,'S3'!AI43,IF($E$2=33.5,'S3'!AJ43))))))))))))</f>
        <v>61.28</v>
      </c>
      <c r="F43" s="74">
        <f t="shared" si="2"/>
        <v>85.79</v>
      </c>
    </row>
    <row r="44" spans="2:58">
      <c r="B44" s="148">
        <v>40</v>
      </c>
      <c r="C44" s="74">
        <f>IF($C$2=22.5,'S3'!A44,IF($C$2=23.5,'S3'!B44,IF($C$2=24.5,'S3'!C44,IF($C$2=25.5,'S3'!D44,IF($C$2=26.5,'S3'!E44,IF($C$2=27.5,'S3'!F44,IF($C$2=28.5,'S3'!G44,IF($C$2=29.5,'S3'!H44,IF($C$2=30.5,'S3'!I44,IF($C$2=31.5,'S3'!J44,IF($C$2=32.5,'S3'!K44,IF($C$2=33.5,'S3'!L44))))))))))))</f>
        <v>101.01</v>
      </c>
      <c r="D44" s="74">
        <f t="shared" si="1"/>
        <v>141.41</v>
      </c>
      <c r="E44" s="74">
        <f>IF($E$2=22.5,'S3'!Y44,IF($E$2=23.5,'S3'!Z44,IF($E$2=24.5,'S3'!AA44,IF($E$2=25.5,'S3'!AB44,IF($E$2=26.5,'S3'!AC44,IF($E$2=27.5,'S3'!AD44,IF($E$2=28.5,'S3'!AE44,IF($E$2=29.5,'S3'!AF44,IF($E$2=30.5,'S3'!AG44,IF($E$2=31.5,'S3'!AH44,IF($E$2=32.5,'S3'!AI44,IF($E$2=33.5,'S3'!AJ44))))))))))))</f>
        <v>62.83</v>
      </c>
      <c r="F44" s="74">
        <f t="shared" si="2"/>
        <v>87.96</v>
      </c>
    </row>
    <row r="45" spans="2:58">
      <c r="B45" s="148">
        <v>41</v>
      </c>
      <c r="C45" s="74">
        <f>IF($C$2=22.5,'S3'!A45,IF($C$2=23.5,'S3'!B45,IF($C$2=24.5,'S3'!C45,IF($C$2=25.5,'S3'!D45,IF($C$2=26.5,'S3'!E45,IF($C$2=27.5,'S3'!F45,IF($C$2=28.5,'S3'!G45,IF($C$2=29.5,'S3'!H45,IF($C$2=30.5,'S3'!I45,IF($C$2=31.5,'S3'!J45,IF($C$2=32.5,'S3'!K45,IF($C$2=33.5,'S3'!L45))))))))))))</f>
        <v>103.52</v>
      </c>
      <c r="D45" s="74">
        <f t="shared" si="1"/>
        <v>144.93</v>
      </c>
      <c r="E45" s="74">
        <f>IF($E$2=22.5,'S3'!Y45,IF($E$2=23.5,'S3'!Z45,IF($E$2=24.5,'S3'!AA45,IF($E$2=25.5,'S3'!AB45,IF($E$2=26.5,'S3'!AC45,IF($E$2=27.5,'S3'!AD45,IF($E$2=28.5,'S3'!AE45,IF($E$2=29.5,'S3'!AF45,IF($E$2=30.5,'S3'!AG45,IF($E$2=31.5,'S3'!AH45,IF($E$2=32.5,'S3'!AI45,IF($E$2=33.5,'S3'!AJ45))))))))))))</f>
        <v>64.38</v>
      </c>
      <c r="F45" s="74">
        <f t="shared" si="2"/>
        <v>90.13</v>
      </c>
    </row>
    <row r="46" spans="2:58">
      <c r="B46" s="148">
        <v>42</v>
      </c>
      <c r="C46" s="74">
        <f>IF($C$2=22.5,'S3'!A46,IF($C$2=23.5,'S3'!B46,IF($C$2=24.5,'S3'!C46,IF($C$2=25.5,'S3'!D46,IF($C$2=26.5,'S3'!E46,IF($C$2=27.5,'S3'!F46,IF($C$2=28.5,'S3'!G46,IF($C$2=29.5,'S3'!H46,IF($C$2=30.5,'S3'!I46,IF($C$2=31.5,'S3'!J46,IF($C$2=32.5,'S3'!K46,IF($C$2=33.5,'S3'!L46))))))))))))</f>
        <v>106.02</v>
      </c>
      <c r="D46" s="74">
        <f t="shared" si="1"/>
        <v>148.43</v>
      </c>
      <c r="E46" s="74">
        <f>IF($E$2=22.5,'S3'!Y46,IF($E$2=23.5,'S3'!Z46,IF($E$2=24.5,'S3'!AA46,IF($E$2=25.5,'S3'!AB46,IF($E$2=26.5,'S3'!AC46,IF($E$2=27.5,'S3'!AD46,IF($E$2=28.5,'S3'!AE46,IF($E$2=29.5,'S3'!AF46,IF($E$2=30.5,'S3'!AG46,IF($E$2=31.5,'S3'!AH46,IF($E$2=32.5,'S3'!AI46,IF($E$2=33.5,'S3'!AJ46))))))))))))</f>
        <v>65.94</v>
      </c>
      <c r="F46" s="74">
        <f t="shared" si="2"/>
        <v>92.32</v>
      </c>
    </row>
    <row r="47" spans="2:58">
      <c r="B47" s="148">
        <v>43</v>
      </c>
      <c r="C47" s="74">
        <f>IF($C$2=22.5,'S3'!A47,IF($C$2=23.5,'S3'!B47,IF($C$2=24.5,'S3'!C47,IF($C$2=25.5,'S3'!D47,IF($C$2=26.5,'S3'!E47,IF($C$2=27.5,'S3'!F47,IF($C$2=28.5,'S3'!G47,IF($C$2=29.5,'S3'!H47,IF($C$2=30.5,'S3'!I47,IF($C$2=31.5,'S3'!J47,IF($C$2=32.5,'S3'!K47,IF($C$2=33.5,'S3'!L47))))))))))))</f>
        <v>108.5</v>
      </c>
      <c r="D47" s="74">
        <f t="shared" si="1"/>
        <v>151.9</v>
      </c>
      <c r="E47" s="74">
        <f>IF($E$2=22.5,'S3'!Y47,IF($E$2=23.5,'S3'!Z47,IF($E$2=24.5,'S3'!AA47,IF($E$2=25.5,'S3'!AB47,IF($E$2=26.5,'S3'!AC47,IF($E$2=27.5,'S3'!AD47,IF($E$2=28.5,'S3'!AE47,IF($E$2=29.5,'S3'!AF47,IF($E$2=30.5,'S3'!AG47,IF($E$2=31.5,'S3'!AH47,IF($E$2=32.5,'S3'!AI47,IF($E$2=33.5,'S3'!AJ47))))))))))))</f>
        <v>67.489999999999995</v>
      </c>
      <c r="F47" s="74">
        <f t="shared" si="2"/>
        <v>94.49</v>
      </c>
    </row>
    <row r="48" spans="2:58">
      <c r="B48" s="148">
        <v>44</v>
      </c>
      <c r="C48" s="74">
        <f>IF($C$2=22.5,'S3'!A48,IF($C$2=23.5,'S3'!B48,IF($C$2=24.5,'S3'!C48,IF($C$2=25.5,'S3'!D48,IF($C$2=26.5,'S3'!E48,IF($C$2=27.5,'S3'!F48,IF($C$2=28.5,'S3'!G48,IF($C$2=29.5,'S3'!H48,IF($C$2=30.5,'S3'!I48,IF($C$2=31.5,'S3'!J48,IF($C$2=32.5,'S3'!K48,IF($C$2=33.5,'S3'!L48))))))))))))</f>
        <v>111</v>
      </c>
      <c r="D48" s="74">
        <f t="shared" si="1"/>
        <v>155.4</v>
      </c>
      <c r="E48" s="74">
        <f>IF($E$2=22.5,'S3'!Y48,IF($E$2=23.5,'S3'!Z48,IF($E$2=24.5,'S3'!AA48,IF($E$2=25.5,'S3'!AB48,IF($E$2=26.5,'S3'!AC48,IF($E$2=27.5,'S3'!AD48,IF($E$2=28.5,'S3'!AE48,IF($E$2=29.5,'S3'!AF48,IF($E$2=30.5,'S3'!AG48,IF($E$2=31.5,'S3'!AH48,IF($E$2=32.5,'S3'!AI48,IF($E$2=33.5,'S3'!AJ48))))))))))))</f>
        <v>69.05</v>
      </c>
      <c r="F48" s="74">
        <f t="shared" si="2"/>
        <v>96.67</v>
      </c>
    </row>
    <row r="49" spans="2:6">
      <c r="B49" s="148">
        <v>45</v>
      </c>
      <c r="C49" s="74">
        <f>IF($C$2=22.5,'S3'!A49,IF($C$2=23.5,'S3'!B49,IF($C$2=24.5,'S3'!C49,IF($C$2=25.5,'S3'!D49,IF($C$2=26.5,'S3'!E49,IF($C$2=27.5,'S3'!F49,IF($C$2=28.5,'S3'!G49,IF($C$2=29.5,'S3'!H49,IF($C$2=30.5,'S3'!I49,IF($C$2=31.5,'S3'!J49,IF($C$2=32.5,'S3'!K49,IF($C$2=33.5,'S3'!L49))))))))))))</f>
        <v>113.49</v>
      </c>
      <c r="D49" s="74">
        <f t="shared" si="1"/>
        <v>158.88999999999999</v>
      </c>
      <c r="E49" s="74">
        <f>IF($E$2=22.5,'S3'!Y49,IF($E$2=23.5,'S3'!Z49,IF($E$2=24.5,'S3'!AA49,IF($E$2=25.5,'S3'!AB49,IF($E$2=26.5,'S3'!AC49,IF($E$2=27.5,'S3'!AD49,IF($E$2=28.5,'S3'!AE49,IF($E$2=29.5,'S3'!AF49,IF($E$2=30.5,'S3'!AG49,IF($E$2=31.5,'S3'!AH49,IF($E$2=32.5,'S3'!AI49,IF($E$2=33.5,'S3'!AJ49))))))))))))</f>
        <v>70.61</v>
      </c>
      <c r="F49" s="74">
        <f t="shared" si="2"/>
        <v>98.85</v>
      </c>
    </row>
    <row r="50" spans="2:6">
      <c r="B50" s="148">
        <v>46</v>
      </c>
      <c r="C50" s="74">
        <f>IF($C$2=22.5,'S3'!A50,IF($C$2=23.5,'S3'!B50,IF($C$2=24.5,'S3'!C50,IF($C$2=25.5,'S3'!D50,IF($C$2=26.5,'S3'!E50,IF($C$2=27.5,'S3'!F50,IF($C$2=28.5,'S3'!G50,IF($C$2=29.5,'S3'!H50,IF($C$2=30.5,'S3'!I50,IF($C$2=31.5,'S3'!J50,IF($C$2=32.5,'S3'!K50,IF($C$2=33.5,'S3'!L50))))))))))))</f>
        <v>115.99</v>
      </c>
      <c r="D50" s="74">
        <f t="shared" si="1"/>
        <v>162.38999999999999</v>
      </c>
      <c r="E50" s="74">
        <f>IF($E$2=22.5,'S3'!Y50,IF($E$2=23.5,'S3'!Z50,IF($E$2=24.5,'S3'!AA50,IF($E$2=25.5,'S3'!AB50,IF($E$2=26.5,'S3'!AC50,IF($E$2=27.5,'S3'!AD50,IF($E$2=28.5,'S3'!AE50,IF($E$2=29.5,'S3'!AF50,IF($E$2=30.5,'S3'!AG50,IF($E$2=31.5,'S3'!AH50,IF($E$2=32.5,'S3'!AI50,IF($E$2=33.5,'S3'!AJ50))))))))))))</f>
        <v>72.17</v>
      </c>
      <c r="F50" s="74">
        <f t="shared" si="2"/>
        <v>101.04</v>
      </c>
    </row>
    <row r="51" spans="2:6">
      <c r="B51" s="148">
        <v>47</v>
      </c>
      <c r="C51" s="74">
        <f>IF($C$2=22.5,'S3'!A51,IF($C$2=23.5,'S3'!B51,IF($C$2=24.5,'S3'!C51,IF($C$2=25.5,'S3'!D51,IF($C$2=26.5,'S3'!E51,IF($C$2=27.5,'S3'!F51,IF($C$2=28.5,'S3'!G51,IF($C$2=29.5,'S3'!H51,IF($C$2=30.5,'S3'!I51,IF($C$2=31.5,'S3'!J51,IF($C$2=32.5,'S3'!K51,IF($C$2=33.5,'S3'!L51))))))))))))</f>
        <v>118.47</v>
      </c>
      <c r="D51" s="74">
        <f t="shared" si="1"/>
        <v>165.86</v>
      </c>
      <c r="E51" s="74">
        <f>IF($E$2=22.5,'S3'!Y51,IF($E$2=23.5,'S3'!Z51,IF($E$2=24.5,'S3'!AA51,IF($E$2=25.5,'S3'!AB51,IF($E$2=26.5,'S3'!AC51,IF($E$2=27.5,'S3'!AD51,IF($E$2=28.5,'S3'!AE51,IF($E$2=29.5,'S3'!AF51,IF($E$2=30.5,'S3'!AG51,IF($E$2=31.5,'S3'!AH51,IF($E$2=32.5,'S3'!AI51,IF($E$2=33.5,'S3'!AJ51))))))))))))</f>
        <v>73.73</v>
      </c>
      <c r="F51" s="74">
        <f t="shared" si="2"/>
        <v>103.22</v>
      </c>
    </row>
    <row r="52" spans="2:6">
      <c r="B52" s="148">
        <v>48</v>
      </c>
      <c r="C52" s="74">
        <f>IF($C$2=22.5,'S3'!A52,IF($C$2=23.5,'S3'!B52,IF($C$2=24.5,'S3'!C52,IF($C$2=25.5,'S3'!D52,IF($C$2=26.5,'S3'!E52,IF($C$2=27.5,'S3'!F52,IF($C$2=28.5,'S3'!G52,IF($C$2=29.5,'S3'!H52,IF($C$2=30.5,'S3'!I52,IF($C$2=31.5,'S3'!J52,IF($C$2=32.5,'S3'!K52,IF($C$2=33.5,'S3'!L52))))))))))))</f>
        <v>120.97</v>
      </c>
      <c r="D52" s="74">
        <f t="shared" si="1"/>
        <v>169.36</v>
      </c>
      <c r="E52" s="74">
        <f>IF($E$2=22.5,'S3'!Y52,IF($E$2=23.5,'S3'!Z52,IF($E$2=24.5,'S3'!AA52,IF($E$2=25.5,'S3'!AB52,IF($E$2=26.5,'S3'!AC52,IF($E$2=27.5,'S3'!AD52,IF($E$2=28.5,'S3'!AE52,IF($E$2=29.5,'S3'!AF52,IF($E$2=30.5,'S3'!AG52,IF($E$2=31.5,'S3'!AH52,IF($E$2=32.5,'S3'!AI52,IF($E$2=33.5,'S3'!AJ52))))))))))))</f>
        <v>75.27</v>
      </c>
      <c r="F52" s="74">
        <f t="shared" si="2"/>
        <v>105.38</v>
      </c>
    </row>
    <row r="53" spans="2:6">
      <c r="B53" s="148">
        <v>49</v>
      </c>
      <c r="C53" s="74">
        <f>IF($C$2=22.5,'S3'!A53,IF($C$2=23.5,'S3'!B53,IF($C$2=24.5,'S3'!C53,IF($C$2=25.5,'S3'!D53,IF($C$2=26.5,'S3'!E53,IF($C$2=27.5,'S3'!F53,IF($C$2=28.5,'S3'!G53,IF($C$2=29.5,'S3'!H53,IF($C$2=30.5,'S3'!I53,IF($C$2=31.5,'S3'!J53,IF($C$2=32.5,'S3'!K53,IF($C$2=33.5,'S3'!L53))))))))))))</f>
        <v>123.45</v>
      </c>
      <c r="D53" s="74">
        <f t="shared" si="1"/>
        <v>172.83</v>
      </c>
      <c r="E53" s="74">
        <f>IF($E$2=22.5,'S3'!Y53,IF($E$2=23.5,'S3'!Z53,IF($E$2=24.5,'S3'!AA53,IF($E$2=25.5,'S3'!AB53,IF($E$2=26.5,'S3'!AC53,IF($E$2=27.5,'S3'!AD53,IF($E$2=28.5,'S3'!AE53,IF($E$2=29.5,'S3'!AF53,IF($E$2=30.5,'S3'!AG53,IF($E$2=31.5,'S3'!AH53,IF($E$2=32.5,'S3'!AI53,IF($E$2=33.5,'S3'!AJ53))))))))))))</f>
        <v>76.83</v>
      </c>
      <c r="F53" s="74">
        <f t="shared" si="2"/>
        <v>107.56</v>
      </c>
    </row>
    <row r="54" spans="2:6">
      <c r="B54" s="148">
        <v>50</v>
      </c>
      <c r="C54" s="74">
        <f>IF($C$2=22.5,'S3'!A54,IF($C$2=23.5,'S3'!B54,IF($C$2=24.5,'S3'!C54,IF($C$2=25.5,'S3'!D54,IF($C$2=26.5,'S3'!E54,IF($C$2=27.5,'S3'!F54,IF($C$2=28.5,'S3'!G54,IF($C$2=29.5,'S3'!H54,IF($C$2=30.5,'S3'!I54,IF($C$2=31.5,'S3'!J54,IF($C$2=32.5,'S3'!K54,IF($C$2=33.5,'S3'!L54))))))))))))</f>
        <v>125.94</v>
      </c>
      <c r="D54" s="74">
        <f t="shared" si="1"/>
        <v>176.32</v>
      </c>
      <c r="E54" s="74">
        <f>IF($E$2=22.5,'S3'!Y54,IF($E$2=23.5,'S3'!Z54,IF($E$2=24.5,'S3'!AA54,IF($E$2=25.5,'S3'!AB54,IF($E$2=26.5,'S3'!AC54,IF($E$2=27.5,'S3'!AD54,IF($E$2=28.5,'S3'!AE54,IF($E$2=29.5,'S3'!AF54,IF($E$2=30.5,'S3'!AG54,IF($E$2=31.5,'S3'!AH54,IF($E$2=32.5,'S3'!AI54,IF($E$2=33.5,'S3'!AJ54))))))))))))</f>
        <v>78.38</v>
      </c>
      <c r="F54" s="74">
        <f t="shared" si="2"/>
        <v>109.73</v>
      </c>
    </row>
    <row r="55" spans="2:6">
      <c r="B55" s="148">
        <v>51</v>
      </c>
      <c r="C55" s="74">
        <f>IF($C$2=22.5,'S3'!A55,IF($C$2=23.5,'S3'!B55,IF($C$2=24.5,'S3'!C55,IF($C$2=25.5,'S3'!D55,IF($C$2=26.5,'S3'!E55,IF($C$2=27.5,'S3'!F55,IF($C$2=28.5,'S3'!G55,IF($C$2=29.5,'S3'!H55,IF($C$2=30.5,'S3'!I55,IF($C$2=31.5,'S3'!J55,IF($C$2=32.5,'S3'!K55,IF($C$2=33.5,'S3'!L55))))))))))))</f>
        <v>128.44999999999999</v>
      </c>
      <c r="D55" s="74">
        <f t="shared" si="1"/>
        <v>179.83</v>
      </c>
      <c r="E55" s="74">
        <f>IF($E$2=22.5,'S3'!Y55,IF($E$2=23.5,'S3'!Z55,IF($E$2=24.5,'S3'!AA55,IF($E$2=25.5,'S3'!AB55,IF($E$2=26.5,'S3'!AC55,IF($E$2=27.5,'S3'!AD55,IF($E$2=28.5,'S3'!AE55,IF($E$2=29.5,'S3'!AF55,IF($E$2=30.5,'S3'!AG55,IF($E$2=31.5,'S3'!AH55,IF($E$2=32.5,'S3'!AI55,IF($E$2=33.5,'S3'!AJ55))))))))))))</f>
        <v>79.94</v>
      </c>
      <c r="F55" s="74">
        <f t="shared" si="2"/>
        <v>111.92</v>
      </c>
    </row>
    <row r="56" spans="2:6">
      <c r="B56" s="148">
        <v>52</v>
      </c>
      <c r="C56" s="74">
        <f>IF($C$2=22.5,'S3'!A56,IF($C$2=23.5,'S3'!B56,IF($C$2=24.5,'S3'!C56,IF($C$2=25.5,'S3'!D56,IF($C$2=26.5,'S3'!E56,IF($C$2=27.5,'S3'!F56,IF($C$2=28.5,'S3'!G56,IF($C$2=29.5,'S3'!H56,IF($C$2=30.5,'S3'!I56,IF($C$2=31.5,'S3'!J56,IF($C$2=32.5,'S3'!K56,IF($C$2=33.5,'S3'!L56))))))))))))</f>
        <v>130.93</v>
      </c>
      <c r="D56" s="74">
        <f t="shared" si="1"/>
        <v>183.3</v>
      </c>
      <c r="E56" s="74">
        <f>IF($E$2=22.5,'S3'!Y56,IF($E$2=23.5,'S3'!Z56,IF($E$2=24.5,'S3'!AA56,IF($E$2=25.5,'S3'!AB56,IF($E$2=26.5,'S3'!AC56,IF($E$2=27.5,'S3'!AD56,IF($E$2=28.5,'S3'!AE56,IF($E$2=29.5,'S3'!AF56,IF($E$2=30.5,'S3'!AG56,IF($E$2=31.5,'S3'!AH56,IF($E$2=32.5,'S3'!AI56,IF($E$2=33.5,'S3'!AJ56))))))))))))</f>
        <v>81.489999999999995</v>
      </c>
      <c r="F56" s="74">
        <f t="shared" si="2"/>
        <v>114.09</v>
      </c>
    </row>
    <row r="57" spans="2:6">
      <c r="B57" s="148">
        <v>53</v>
      </c>
      <c r="C57" s="74">
        <f>IF($C$2=22.5,'S3'!A57,IF($C$2=23.5,'S3'!B57,IF($C$2=24.5,'S3'!C57,IF($C$2=25.5,'S3'!D57,IF($C$2=26.5,'S3'!E57,IF($C$2=27.5,'S3'!F57,IF($C$2=28.5,'S3'!G57,IF($C$2=29.5,'S3'!H57,IF($C$2=30.5,'S3'!I57,IF($C$2=31.5,'S3'!J57,IF($C$2=32.5,'S3'!K57,IF($C$2=33.5,'S3'!L57))))))))))))</f>
        <v>133.43</v>
      </c>
      <c r="D57" s="74">
        <f t="shared" si="1"/>
        <v>186.8</v>
      </c>
      <c r="E57" s="74">
        <f>IF($E$2=22.5,'S3'!Y57,IF($E$2=23.5,'S3'!Z57,IF($E$2=24.5,'S3'!AA57,IF($E$2=25.5,'S3'!AB57,IF($E$2=26.5,'S3'!AC57,IF($E$2=27.5,'S3'!AD57,IF($E$2=28.5,'S3'!AE57,IF($E$2=29.5,'S3'!AF57,IF($E$2=30.5,'S3'!AG57,IF($E$2=31.5,'S3'!AH57,IF($E$2=32.5,'S3'!AI57,IF($E$2=33.5,'S3'!AJ57))))))))))))</f>
        <v>83.04</v>
      </c>
      <c r="F57" s="74">
        <f t="shared" si="2"/>
        <v>116.26</v>
      </c>
    </row>
    <row r="58" spans="2:6">
      <c r="B58" s="148">
        <v>54</v>
      </c>
      <c r="C58" s="74">
        <f>IF($C$2=22.5,'S3'!A58,IF($C$2=23.5,'S3'!B58,IF($C$2=24.5,'S3'!C58,IF($C$2=25.5,'S3'!D58,IF($C$2=26.5,'S3'!E58,IF($C$2=27.5,'S3'!F58,IF($C$2=28.5,'S3'!G58,IF($C$2=29.5,'S3'!H58,IF($C$2=30.5,'S3'!I58,IF($C$2=31.5,'S3'!J58,IF($C$2=32.5,'S3'!K58,IF($C$2=33.5,'S3'!L58))))))))))))</f>
        <v>135.94</v>
      </c>
      <c r="D58" s="74">
        <f t="shared" si="1"/>
        <v>190.32</v>
      </c>
      <c r="E58" s="74">
        <f>IF($E$2=22.5,'S3'!Y58,IF($E$2=23.5,'S3'!Z58,IF($E$2=24.5,'S3'!AA58,IF($E$2=25.5,'S3'!AB58,IF($E$2=26.5,'S3'!AC58,IF($E$2=27.5,'S3'!AD58,IF($E$2=28.5,'S3'!AE58,IF($E$2=29.5,'S3'!AF58,IF($E$2=30.5,'S3'!AG58,IF($E$2=31.5,'S3'!AH58,IF($E$2=32.5,'S3'!AI58,IF($E$2=33.5,'S3'!AJ58))))))))))))</f>
        <v>84.6</v>
      </c>
      <c r="F58" s="74">
        <f t="shared" si="2"/>
        <v>118.44</v>
      </c>
    </row>
    <row r="59" spans="2:6">
      <c r="B59" s="148">
        <v>55</v>
      </c>
      <c r="C59" s="74">
        <f>IF($C$2=22.5,'S3'!A59,IF($C$2=23.5,'S3'!B59,IF($C$2=24.5,'S3'!C59,IF($C$2=25.5,'S3'!D59,IF($C$2=26.5,'S3'!E59,IF($C$2=27.5,'S3'!F59,IF($C$2=28.5,'S3'!G59,IF($C$2=29.5,'S3'!H59,IF($C$2=30.5,'S3'!I59,IF($C$2=31.5,'S3'!J59,IF($C$2=32.5,'S3'!K59,IF($C$2=33.5,'S3'!L59))))))))))))</f>
        <v>138.41</v>
      </c>
      <c r="D59" s="74">
        <f t="shared" si="1"/>
        <v>193.77</v>
      </c>
      <c r="E59" s="74">
        <f>IF($E$2=22.5,'S3'!Y59,IF($E$2=23.5,'S3'!Z59,IF($E$2=24.5,'S3'!AA59,IF($E$2=25.5,'S3'!AB59,IF($E$2=26.5,'S3'!AC59,IF($E$2=27.5,'S3'!AD59,IF($E$2=28.5,'S3'!AE59,IF($E$2=29.5,'S3'!AF59,IF($E$2=30.5,'S3'!AG59,IF($E$2=31.5,'S3'!AH59,IF($E$2=32.5,'S3'!AI59,IF($E$2=33.5,'S3'!AJ59))))))))))))</f>
        <v>86.16</v>
      </c>
      <c r="F59" s="74">
        <f t="shared" si="2"/>
        <v>120.62</v>
      </c>
    </row>
    <row r="60" spans="2:6">
      <c r="B60" s="148">
        <v>56</v>
      </c>
      <c r="C60" s="74">
        <f>IF($C$2=22.5,'S3'!A60,IF($C$2=23.5,'S3'!B60,IF($C$2=24.5,'S3'!C60,IF($C$2=25.5,'S3'!D60,IF($C$2=26.5,'S3'!E60,IF($C$2=27.5,'S3'!F60,IF($C$2=28.5,'S3'!G60,IF($C$2=29.5,'S3'!H60,IF($C$2=30.5,'S3'!I60,IF($C$2=31.5,'S3'!J60,IF($C$2=32.5,'S3'!K60,IF($C$2=33.5,'S3'!L60))))))))))))</f>
        <v>140.9</v>
      </c>
      <c r="D60" s="74">
        <f t="shared" si="1"/>
        <v>197.26</v>
      </c>
      <c r="E60" s="74">
        <f>IF($E$2=22.5,'S3'!Y60,IF($E$2=23.5,'S3'!Z60,IF($E$2=24.5,'S3'!AA60,IF($E$2=25.5,'S3'!AB60,IF($E$2=26.5,'S3'!AC60,IF($E$2=27.5,'S3'!AD60,IF($E$2=28.5,'S3'!AE60,IF($E$2=29.5,'S3'!AF60,IF($E$2=30.5,'S3'!AG60,IF($E$2=31.5,'S3'!AH60,IF($E$2=32.5,'S3'!AI60,IF($E$2=33.5,'S3'!AJ60))))))))))))</f>
        <v>87.71</v>
      </c>
      <c r="F60" s="74">
        <f t="shared" si="2"/>
        <v>122.79</v>
      </c>
    </row>
    <row r="61" spans="2:6">
      <c r="B61" s="148">
        <v>57</v>
      </c>
      <c r="C61" s="74">
        <f>IF($C$2=22.5,'S3'!A61,IF($C$2=23.5,'S3'!B61,IF($C$2=24.5,'S3'!C61,IF($C$2=25.5,'S3'!D61,IF($C$2=26.5,'S3'!E61,IF($C$2=27.5,'S3'!F61,IF($C$2=28.5,'S3'!G61,IF($C$2=29.5,'S3'!H61,IF($C$2=30.5,'S3'!I61,IF($C$2=31.5,'S3'!J61,IF($C$2=32.5,'S3'!K61,IF($C$2=33.5,'S3'!L61))))))))))))</f>
        <v>143.41</v>
      </c>
      <c r="D61" s="74">
        <f t="shared" si="1"/>
        <v>200.77</v>
      </c>
      <c r="E61" s="74">
        <f>IF($E$2=22.5,'S3'!Y61,IF($E$2=23.5,'S3'!Z61,IF($E$2=24.5,'S3'!AA61,IF($E$2=25.5,'S3'!AB61,IF($E$2=26.5,'S3'!AC61,IF($E$2=27.5,'S3'!AD61,IF($E$2=28.5,'S3'!AE61,IF($E$2=29.5,'S3'!AF61,IF($E$2=30.5,'S3'!AG61,IF($E$2=31.5,'S3'!AH61,IF($E$2=32.5,'S3'!AI61,IF($E$2=33.5,'S3'!AJ61))))))))))))</f>
        <v>89.26</v>
      </c>
      <c r="F61" s="74">
        <f t="shared" si="2"/>
        <v>124.96</v>
      </c>
    </row>
    <row r="62" spans="2:6">
      <c r="B62" s="148">
        <v>58</v>
      </c>
      <c r="C62" s="74">
        <f>IF($C$2=22.5,'S3'!A62,IF($C$2=23.5,'S3'!B62,IF($C$2=24.5,'S3'!C62,IF($C$2=25.5,'S3'!D62,IF($C$2=26.5,'S3'!E62,IF($C$2=27.5,'S3'!F62,IF($C$2=28.5,'S3'!G62,IF($C$2=29.5,'S3'!H62,IF($C$2=30.5,'S3'!I62,IF($C$2=31.5,'S3'!J62,IF($C$2=32.5,'S3'!K62,IF($C$2=33.5,'S3'!L62))))))))))))</f>
        <v>145.93</v>
      </c>
      <c r="D62" s="74">
        <f t="shared" si="1"/>
        <v>204.3</v>
      </c>
      <c r="E62" s="74">
        <f>IF($E$2=22.5,'S3'!Y62,IF($E$2=23.5,'S3'!Z62,IF($E$2=24.5,'S3'!AA62,IF($E$2=25.5,'S3'!AB62,IF($E$2=26.5,'S3'!AC62,IF($E$2=27.5,'S3'!AD62,IF($E$2=28.5,'S3'!AE62,IF($E$2=29.5,'S3'!AF62,IF($E$2=30.5,'S3'!AG62,IF($E$2=31.5,'S3'!AH62,IF($E$2=32.5,'S3'!AI62,IF($E$2=33.5,'S3'!AJ62))))))))))))</f>
        <v>90.82</v>
      </c>
      <c r="F62" s="74">
        <f t="shared" si="2"/>
        <v>127.15</v>
      </c>
    </row>
    <row r="63" spans="2:6">
      <c r="B63" s="148">
        <v>59</v>
      </c>
      <c r="C63" s="74">
        <f>IF($C$2=22.5,'S3'!A63,IF($C$2=23.5,'S3'!B63,IF($C$2=24.5,'S3'!C63,IF($C$2=25.5,'S3'!D63,IF($C$2=26.5,'S3'!E63,IF($C$2=27.5,'S3'!F63,IF($C$2=28.5,'S3'!G63,IF($C$2=29.5,'S3'!H63,IF($C$2=30.5,'S3'!I63,IF($C$2=31.5,'S3'!J63,IF($C$2=32.5,'S3'!K63,IF($C$2=33.5,'S3'!L63))))))))))))</f>
        <v>148.41</v>
      </c>
      <c r="D63" s="74">
        <f t="shared" si="1"/>
        <v>207.77</v>
      </c>
      <c r="E63" s="74">
        <f>IF($E$2=22.5,'S3'!Y63,IF($E$2=23.5,'S3'!Z63,IF($E$2=24.5,'S3'!AA63,IF($E$2=25.5,'S3'!AB63,IF($E$2=26.5,'S3'!AC63,IF($E$2=27.5,'S3'!AD63,IF($E$2=28.5,'S3'!AE63,IF($E$2=29.5,'S3'!AF63,IF($E$2=30.5,'S3'!AG63,IF($E$2=31.5,'S3'!AH63,IF($E$2=32.5,'S3'!AI63,IF($E$2=33.5,'S3'!AJ63))))))))))))</f>
        <v>92.38</v>
      </c>
      <c r="F63" s="74">
        <f t="shared" si="2"/>
        <v>129.33000000000001</v>
      </c>
    </row>
    <row r="64" spans="2:6">
      <c r="B64" s="148">
        <v>60</v>
      </c>
      <c r="C64" s="74">
        <f>IF($C$2=22.5,'S3'!A64,IF($C$2=23.5,'S3'!B64,IF($C$2=24.5,'S3'!C64,IF($C$2=25.5,'S3'!D64,IF($C$2=26.5,'S3'!E64,IF($C$2=27.5,'S3'!F64,IF($C$2=28.5,'S3'!G64,IF($C$2=29.5,'S3'!H64,IF($C$2=30.5,'S3'!I64,IF($C$2=31.5,'S3'!J64,IF($C$2=32.5,'S3'!K64,IF($C$2=33.5,'S3'!L64))))))))))))</f>
        <v>150.9</v>
      </c>
      <c r="D64" s="74">
        <f t="shared" si="1"/>
        <v>211.26</v>
      </c>
      <c r="E64" s="74">
        <f>IF($E$2=22.5,'S3'!Y64,IF($E$2=23.5,'S3'!Z64,IF($E$2=24.5,'S3'!AA64,IF($E$2=25.5,'S3'!AB64,IF($E$2=26.5,'S3'!AC64,IF($E$2=27.5,'S3'!AD64,IF($E$2=28.5,'S3'!AE64,IF($E$2=29.5,'S3'!AF64,IF($E$2=30.5,'S3'!AG64,IF($E$2=31.5,'S3'!AH64,IF($E$2=32.5,'S3'!AI64,IF($E$2=33.5,'S3'!AJ64))))))))))))</f>
        <v>93.94</v>
      </c>
      <c r="F64" s="74">
        <f t="shared" si="2"/>
        <v>131.52000000000001</v>
      </c>
    </row>
    <row r="65" spans="2:6">
      <c r="B65" s="148">
        <v>61</v>
      </c>
      <c r="C65" s="74">
        <f>IF($C$2=22.5,'S3'!A65,IF($C$2=23.5,'S3'!B65,IF($C$2=24.5,'S3'!C65,IF($C$2=25.5,'S3'!D65,IF($C$2=26.5,'S3'!E65,IF($C$2=27.5,'S3'!F65,IF($C$2=28.5,'S3'!G65,IF($C$2=29.5,'S3'!H65,IF($C$2=30.5,'S3'!I65,IF($C$2=31.5,'S3'!J65,IF($C$2=32.5,'S3'!K65,IF($C$2=33.5,'S3'!L65))))))))))))</f>
        <v>153.4</v>
      </c>
      <c r="D65" s="74">
        <f t="shared" si="1"/>
        <v>214.76</v>
      </c>
      <c r="E65" s="74">
        <f>IF($E$2=22.5,'S3'!Y65,IF($E$2=23.5,'S3'!Z65,IF($E$2=24.5,'S3'!AA65,IF($E$2=25.5,'S3'!AB65,IF($E$2=26.5,'S3'!AC65,IF($E$2=27.5,'S3'!AD65,IF($E$2=28.5,'S3'!AE65,IF($E$2=29.5,'S3'!AF65,IF($E$2=30.5,'S3'!AG65,IF($E$2=31.5,'S3'!AH65,IF($E$2=32.5,'S3'!AI65,IF($E$2=33.5,'S3'!AJ65))))))))))))</f>
        <v>95.49</v>
      </c>
      <c r="F65" s="74">
        <f t="shared" si="2"/>
        <v>133.69</v>
      </c>
    </row>
    <row r="66" spans="2:6">
      <c r="B66" s="148">
        <v>62</v>
      </c>
      <c r="C66" s="74">
        <f>IF($C$2=22.5,'S3'!A66,IF($C$2=23.5,'S3'!B66,IF($C$2=24.5,'S3'!C66,IF($C$2=25.5,'S3'!D66,IF($C$2=26.5,'S3'!E66,IF($C$2=27.5,'S3'!F66,IF($C$2=28.5,'S3'!G66,IF($C$2=29.5,'S3'!H66,IF($C$2=30.5,'S3'!I66,IF($C$2=31.5,'S3'!J66,IF($C$2=32.5,'S3'!K66,IF($C$2=33.5,'S3'!L66))))))))))))</f>
        <v>155.91999999999999</v>
      </c>
      <c r="D66" s="74">
        <f t="shared" si="1"/>
        <v>218.29</v>
      </c>
      <c r="E66" s="74">
        <f>IF($E$2=22.5,'S3'!Y66,IF($E$2=23.5,'S3'!Z66,IF($E$2=24.5,'S3'!AA66,IF($E$2=25.5,'S3'!AB66,IF($E$2=26.5,'S3'!AC66,IF($E$2=27.5,'S3'!AD66,IF($E$2=28.5,'S3'!AE66,IF($E$2=29.5,'S3'!AF66,IF($E$2=30.5,'S3'!AG66,IF($E$2=31.5,'S3'!AH66,IF($E$2=32.5,'S3'!AI66,IF($E$2=33.5,'S3'!AJ66))))))))))))</f>
        <v>97.04</v>
      </c>
      <c r="F66" s="74">
        <f t="shared" si="2"/>
        <v>135.86000000000001</v>
      </c>
    </row>
    <row r="67" spans="2:6">
      <c r="B67" s="148">
        <v>63</v>
      </c>
      <c r="C67" s="74">
        <f>IF($C$2=22.5,'S3'!A67,IF($C$2=23.5,'S3'!B67,IF($C$2=24.5,'S3'!C67,IF($C$2=25.5,'S3'!D67,IF($C$2=26.5,'S3'!E67,IF($C$2=27.5,'S3'!F67,IF($C$2=28.5,'S3'!G67,IF($C$2=29.5,'S3'!H67,IF($C$2=30.5,'S3'!I67,IF($C$2=31.5,'S3'!J67,IF($C$2=32.5,'S3'!K67,IF($C$2=33.5,'S3'!L67))))))))))))</f>
        <v>158.38</v>
      </c>
      <c r="D67" s="74">
        <f t="shared" si="1"/>
        <v>221.73</v>
      </c>
      <c r="E67" s="74">
        <f>IF($E$2=22.5,'S3'!Y67,IF($E$2=23.5,'S3'!Z67,IF($E$2=24.5,'S3'!AA67,IF($E$2=25.5,'S3'!AB67,IF($E$2=26.5,'S3'!AC67,IF($E$2=27.5,'S3'!AD67,IF($E$2=28.5,'S3'!AE67,IF($E$2=29.5,'S3'!AF67,IF($E$2=30.5,'S3'!AG67,IF($E$2=31.5,'S3'!AH67,IF($E$2=32.5,'S3'!AI67,IF($E$2=33.5,'S3'!AJ67))))))))))))</f>
        <v>98.6</v>
      </c>
      <c r="F67" s="74">
        <f t="shared" si="2"/>
        <v>138.04</v>
      </c>
    </row>
    <row r="68" spans="2:6">
      <c r="B68" s="148">
        <v>64</v>
      </c>
      <c r="C68" s="74">
        <f>IF($C$2=22.5,'S3'!A68,IF($C$2=23.5,'S3'!B68,IF($C$2=24.5,'S3'!C68,IF($C$2=25.5,'S3'!D68,IF($C$2=26.5,'S3'!E68,IF($C$2=27.5,'S3'!F68,IF($C$2=28.5,'S3'!G68,IF($C$2=29.5,'S3'!H68,IF($C$2=30.5,'S3'!I68,IF($C$2=31.5,'S3'!J68,IF($C$2=32.5,'S3'!K68,IF($C$2=33.5,'S3'!L68))))))))))))</f>
        <v>160.86000000000001</v>
      </c>
      <c r="D68" s="74">
        <f t="shared" si="1"/>
        <v>225.2</v>
      </c>
      <c r="E68" s="74">
        <f>IF($E$2=22.5,'S3'!Y68,IF($E$2=23.5,'S3'!Z68,IF($E$2=24.5,'S3'!AA68,IF($E$2=25.5,'S3'!AB68,IF($E$2=26.5,'S3'!AC68,IF($E$2=27.5,'S3'!AD68,IF($E$2=28.5,'S3'!AE68,IF($E$2=29.5,'S3'!AF68,IF($E$2=30.5,'S3'!AG68,IF($E$2=31.5,'S3'!AH68,IF($E$2=32.5,'S3'!AI68,IF($E$2=33.5,'S3'!AJ68))))))))))))</f>
        <v>100.16</v>
      </c>
      <c r="F68" s="74">
        <f t="shared" si="2"/>
        <v>140.22</v>
      </c>
    </row>
    <row r="69" spans="2:6">
      <c r="B69" s="148">
        <v>65</v>
      </c>
      <c r="C69" s="74">
        <f>IF($C$2=22.5,'S3'!A69,IF($C$2=23.5,'S3'!B69,IF($C$2=24.5,'S3'!C69,IF($C$2=25.5,'S3'!D69,IF($C$2=26.5,'S3'!E69,IF($C$2=27.5,'S3'!F69,IF($C$2=28.5,'S3'!G69,IF($C$2=29.5,'S3'!H69,IF($C$2=30.5,'S3'!I69,IF($C$2=31.5,'S3'!J69,IF($C$2=32.5,'S3'!K69,IF($C$2=33.5,'S3'!L69))))))))))))</f>
        <v>163.35</v>
      </c>
      <c r="D69" s="74">
        <f t="shared" si="1"/>
        <v>228.69</v>
      </c>
      <c r="E69" s="74">
        <f>IF($E$2=22.5,'S3'!Y69,IF($E$2=23.5,'S3'!Z69,IF($E$2=24.5,'S3'!AA69,IF($E$2=25.5,'S3'!AB69,IF($E$2=26.5,'S3'!AC69,IF($E$2=27.5,'S3'!AD69,IF($E$2=28.5,'S3'!AE69,IF($E$2=29.5,'S3'!AF69,IF($E$2=30.5,'S3'!AG69,IF($E$2=31.5,'S3'!AH69,IF($E$2=32.5,'S3'!AI69,IF($E$2=33.5,'S3'!AJ69))))))))))))</f>
        <v>101.7</v>
      </c>
      <c r="F69" s="74">
        <f t="shared" si="2"/>
        <v>142.38</v>
      </c>
    </row>
    <row r="70" spans="2:6">
      <c r="B70" s="148">
        <v>66</v>
      </c>
      <c r="C70" s="74">
        <f>IF($C$2=22.5,'S3'!A70,IF($C$2=23.5,'S3'!B70,IF($C$2=24.5,'S3'!C70,IF($C$2=25.5,'S3'!D70,IF($C$2=26.5,'S3'!E70,IF($C$2=27.5,'S3'!F70,IF($C$2=28.5,'S3'!G70,IF($C$2=29.5,'S3'!H70,IF($C$2=30.5,'S3'!I70,IF($C$2=31.5,'S3'!J70,IF($C$2=32.5,'S3'!K70,IF($C$2=33.5,'S3'!L70))))))))))))</f>
        <v>165.85</v>
      </c>
      <c r="D70" s="74">
        <f t="shared" ref="D70:D133" si="8">ROUND(C70*1.4,2)</f>
        <v>232.19</v>
      </c>
      <c r="E70" s="74">
        <f>IF($E$2=22.5,'S3'!Y70,IF($E$2=23.5,'S3'!Z70,IF($E$2=24.5,'S3'!AA70,IF($E$2=25.5,'S3'!AB70,IF($E$2=26.5,'S3'!AC70,IF($E$2=27.5,'S3'!AD70,IF($E$2=28.5,'S3'!AE70,IF($E$2=29.5,'S3'!AF70,IF($E$2=30.5,'S3'!AG70,IF($E$2=31.5,'S3'!AH70,IF($E$2=32.5,'S3'!AI70,IF($E$2=33.5,'S3'!AJ70))))))))))))</f>
        <v>103.27</v>
      </c>
      <c r="F70" s="74">
        <f t="shared" ref="F70:F133" si="9">ROUND(E70*1.4,2)</f>
        <v>144.58000000000001</v>
      </c>
    </row>
    <row r="71" spans="2:6">
      <c r="B71" s="148">
        <v>67</v>
      </c>
      <c r="C71" s="74">
        <f>IF($C$2=22.5,'S3'!A71,IF($C$2=23.5,'S3'!B71,IF($C$2=24.5,'S3'!C71,IF($C$2=25.5,'S3'!D71,IF($C$2=26.5,'S3'!E71,IF($C$2=27.5,'S3'!F71,IF($C$2=28.5,'S3'!G71,IF($C$2=29.5,'S3'!H71,IF($C$2=30.5,'S3'!I71,IF($C$2=31.5,'S3'!J71,IF($C$2=32.5,'S3'!K71,IF($C$2=33.5,'S3'!L71))))))))))))</f>
        <v>168.37</v>
      </c>
      <c r="D71" s="74">
        <f t="shared" si="8"/>
        <v>235.72</v>
      </c>
      <c r="E71" s="74">
        <f>IF($E$2=22.5,'S3'!Y71,IF($E$2=23.5,'S3'!Z71,IF($E$2=24.5,'S3'!AA71,IF($E$2=25.5,'S3'!AB71,IF($E$2=26.5,'S3'!AC71,IF($E$2=27.5,'S3'!AD71,IF($E$2=28.5,'S3'!AE71,IF($E$2=29.5,'S3'!AF71,IF($E$2=30.5,'S3'!AG71,IF($E$2=31.5,'S3'!AH71,IF($E$2=32.5,'S3'!AI71,IF($E$2=33.5,'S3'!AJ71))))))))))))</f>
        <v>104.82</v>
      </c>
      <c r="F71" s="74">
        <f t="shared" si="9"/>
        <v>146.75</v>
      </c>
    </row>
    <row r="72" spans="2:6">
      <c r="B72" s="148">
        <v>68</v>
      </c>
      <c r="C72" s="74">
        <f>IF($C$2=22.5,'S3'!A72,IF($C$2=23.5,'S3'!B72,IF($C$2=24.5,'S3'!C72,IF($C$2=25.5,'S3'!D72,IF($C$2=26.5,'S3'!E72,IF($C$2=27.5,'S3'!F72,IF($C$2=28.5,'S3'!G72,IF($C$2=29.5,'S3'!H72,IF($C$2=30.5,'S3'!I72,IF($C$2=31.5,'S3'!J72,IF($C$2=32.5,'S3'!K72,IF($C$2=33.5,'S3'!L72))))))))))))</f>
        <v>170.82</v>
      </c>
      <c r="D72" s="74">
        <f t="shared" si="8"/>
        <v>239.15</v>
      </c>
      <c r="E72" s="74">
        <f>IF($E$2=22.5,'S3'!Y72,IF($E$2=23.5,'S3'!Z72,IF($E$2=24.5,'S3'!AA72,IF($E$2=25.5,'S3'!AB72,IF($E$2=26.5,'S3'!AC72,IF($E$2=27.5,'S3'!AD72,IF($E$2=28.5,'S3'!AE72,IF($E$2=29.5,'S3'!AF72,IF($E$2=30.5,'S3'!AG72,IF($E$2=31.5,'S3'!AH72,IF($E$2=32.5,'S3'!AI72,IF($E$2=33.5,'S3'!AJ72))))))))))))</f>
        <v>106.37</v>
      </c>
      <c r="F72" s="74">
        <f t="shared" si="9"/>
        <v>148.91999999999999</v>
      </c>
    </row>
    <row r="73" spans="2:6">
      <c r="B73" s="148">
        <v>69</v>
      </c>
      <c r="C73" s="74">
        <f>IF($C$2=22.5,'S3'!A73,IF($C$2=23.5,'S3'!B73,IF($C$2=24.5,'S3'!C73,IF($C$2=25.5,'S3'!D73,IF($C$2=26.5,'S3'!E73,IF($C$2=27.5,'S3'!F73,IF($C$2=28.5,'S3'!G73,IF($C$2=29.5,'S3'!H73,IF($C$2=30.5,'S3'!I73,IF($C$2=31.5,'S3'!J73,IF($C$2=32.5,'S3'!K73,IF($C$2=33.5,'S3'!L73))))))))))))</f>
        <v>173.36</v>
      </c>
      <c r="D73" s="74">
        <f t="shared" si="8"/>
        <v>242.7</v>
      </c>
      <c r="E73" s="74">
        <f>IF($E$2=22.5,'S3'!Y73,IF($E$2=23.5,'S3'!Z73,IF($E$2=24.5,'S3'!AA73,IF($E$2=25.5,'S3'!AB73,IF($E$2=26.5,'S3'!AC73,IF($E$2=27.5,'S3'!AD73,IF($E$2=28.5,'S3'!AE73,IF($E$2=29.5,'S3'!AF73,IF($E$2=30.5,'S3'!AG73,IF($E$2=31.5,'S3'!AH73,IF($E$2=32.5,'S3'!AI73,IF($E$2=33.5,'S3'!AJ73))))))))))))</f>
        <v>107.92</v>
      </c>
      <c r="F73" s="74">
        <f t="shared" si="9"/>
        <v>151.09</v>
      </c>
    </row>
    <row r="74" spans="2:6">
      <c r="B74" s="148">
        <v>70</v>
      </c>
      <c r="C74" s="74">
        <f>IF($C$2=22.5,'S3'!A74,IF($C$2=23.5,'S3'!B74,IF($C$2=24.5,'S3'!C74,IF($C$2=25.5,'S3'!D74,IF($C$2=26.5,'S3'!E74,IF($C$2=27.5,'S3'!F74,IF($C$2=28.5,'S3'!G74,IF($C$2=29.5,'S3'!H74,IF($C$2=30.5,'S3'!I74,IF($C$2=31.5,'S3'!J74,IF($C$2=32.5,'S3'!K74,IF($C$2=33.5,'S3'!L74))))))))))))</f>
        <v>175.84</v>
      </c>
      <c r="D74" s="74">
        <f t="shared" si="8"/>
        <v>246.18</v>
      </c>
      <c r="E74" s="74">
        <f>IF($E$2=22.5,'S3'!Y74,IF($E$2=23.5,'S3'!Z74,IF($E$2=24.5,'S3'!AA74,IF($E$2=25.5,'S3'!AB74,IF($E$2=26.5,'S3'!AC74,IF($E$2=27.5,'S3'!AD74,IF($E$2=28.5,'S3'!AE74,IF($E$2=29.5,'S3'!AF74,IF($E$2=30.5,'S3'!AG74,IF($E$2=31.5,'S3'!AH74,IF($E$2=32.5,'S3'!AI74,IF($E$2=33.5,'S3'!AJ74))))))))))))</f>
        <v>109.48</v>
      </c>
      <c r="F74" s="74">
        <f t="shared" si="9"/>
        <v>153.27000000000001</v>
      </c>
    </row>
    <row r="75" spans="2:6">
      <c r="B75" s="148">
        <v>71</v>
      </c>
      <c r="C75" s="74">
        <f>IF($C$2=22.5,'S3'!A75,IF($C$2=23.5,'S3'!B75,IF($C$2=24.5,'S3'!C75,IF($C$2=25.5,'S3'!D75,IF($C$2=26.5,'S3'!E75,IF($C$2=27.5,'S3'!F75,IF($C$2=28.5,'S3'!G75,IF($C$2=29.5,'S3'!H75,IF($C$2=30.5,'S3'!I75,IF($C$2=31.5,'S3'!J75,IF($C$2=32.5,'S3'!K75,IF($C$2=33.5,'S3'!L75))))))))))))</f>
        <v>178.32</v>
      </c>
      <c r="D75" s="74">
        <f t="shared" si="8"/>
        <v>249.65</v>
      </c>
      <c r="E75" s="74">
        <f>IF($E$2=22.5,'S3'!Y75,IF($E$2=23.5,'S3'!Z75,IF($E$2=24.5,'S3'!AA75,IF($E$2=25.5,'S3'!AB75,IF($E$2=26.5,'S3'!AC75,IF($E$2=27.5,'S3'!AD75,IF($E$2=28.5,'S3'!AE75,IF($E$2=29.5,'S3'!AF75,IF($E$2=30.5,'S3'!AG75,IF($E$2=31.5,'S3'!AH75,IF($E$2=32.5,'S3'!AI75,IF($E$2=33.5,'S3'!AJ75))))))))))))</f>
        <v>111.04</v>
      </c>
      <c r="F75" s="74">
        <f t="shared" si="9"/>
        <v>155.46</v>
      </c>
    </row>
    <row r="76" spans="2:6">
      <c r="B76" s="148">
        <v>72</v>
      </c>
      <c r="C76" s="74">
        <f>IF($C$2=22.5,'S3'!A76,IF($C$2=23.5,'S3'!B76,IF($C$2=24.5,'S3'!C76,IF($C$2=25.5,'S3'!D76,IF($C$2=26.5,'S3'!E76,IF($C$2=27.5,'S3'!F76,IF($C$2=28.5,'S3'!G76,IF($C$2=29.5,'S3'!H76,IF($C$2=30.5,'S3'!I76,IF($C$2=31.5,'S3'!J76,IF($C$2=32.5,'S3'!K76,IF($C$2=33.5,'S3'!L76))))))))))))</f>
        <v>180.82</v>
      </c>
      <c r="D76" s="74">
        <f t="shared" si="8"/>
        <v>253.15</v>
      </c>
      <c r="E76" s="74">
        <f>IF($E$2=22.5,'S3'!Y76,IF($E$2=23.5,'S3'!Z76,IF($E$2=24.5,'S3'!AA76,IF($E$2=25.5,'S3'!AB76,IF($E$2=26.5,'S3'!AC76,IF($E$2=27.5,'S3'!AD76,IF($E$2=28.5,'S3'!AE76,IF($E$2=29.5,'S3'!AF76,IF($E$2=30.5,'S3'!AG76,IF($E$2=31.5,'S3'!AH76,IF($E$2=32.5,'S3'!AI76,IF($E$2=33.5,'S3'!AJ76))))))))))))</f>
        <v>112.61</v>
      </c>
      <c r="F76" s="74">
        <f t="shared" si="9"/>
        <v>157.65</v>
      </c>
    </row>
    <row r="77" spans="2:6">
      <c r="B77" s="148">
        <v>73</v>
      </c>
      <c r="C77" s="74">
        <f>IF($C$2=22.5,'S3'!A77,IF($C$2=23.5,'S3'!B77,IF($C$2=24.5,'S3'!C77,IF($C$2=25.5,'S3'!D77,IF($C$2=26.5,'S3'!E77,IF($C$2=27.5,'S3'!F77,IF($C$2=28.5,'S3'!G77,IF($C$2=29.5,'S3'!H77,IF($C$2=30.5,'S3'!I77,IF($C$2=31.5,'S3'!J77,IF($C$2=32.5,'S3'!K77,IF($C$2=33.5,'S3'!L77))))))))))))</f>
        <v>183.33</v>
      </c>
      <c r="D77" s="74">
        <f t="shared" si="8"/>
        <v>256.66000000000003</v>
      </c>
      <c r="E77" s="74">
        <f>IF($E$2=22.5,'S3'!Y77,IF($E$2=23.5,'S3'!Z77,IF($E$2=24.5,'S3'!AA77,IF($E$2=25.5,'S3'!AB77,IF($E$2=26.5,'S3'!AC77,IF($E$2=27.5,'S3'!AD77,IF($E$2=28.5,'S3'!AE77,IF($E$2=29.5,'S3'!AF77,IF($E$2=30.5,'S3'!AG77,IF($E$2=31.5,'S3'!AH77,IF($E$2=32.5,'S3'!AI77,IF($E$2=33.5,'S3'!AJ77))))))))))))</f>
        <v>114.15</v>
      </c>
      <c r="F77" s="74">
        <f t="shared" si="9"/>
        <v>159.81</v>
      </c>
    </row>
    <row r="78" spans="2:6">
      <c r="B78" s="148">
        <v>74</v>
      </c>
      <c r="C78" s="74">
        <f>IF($C$2=22.5,'S3'!A78,IF($C$2=23.5,'S3'!B78,IF($C$2=24.5,'S3'!C78,IF($C$2=25.5,'S3'!D78,IF($C$2=26.5,'S3'!E78,IF($C$2=27.5,'S3'!F78,IF($C$2=28.5,'S3'!G78,IF($C$2=29.5,'S3'!H78,IF($C$2=30.5,'S3'!I78,IF($C$2=31.5,'S3'!J78,IF($C$2=32.5,'S3'!K78,IF($C$2=33.5,'S3'!L78))))))))))))</f>
        <v>185.85</v>
      </c>
      <c r="D78" s="74">
        <f t="shared" si="8"/>
        <v>260.19</v>
      </c>
      <c r="E78" s="74">
        <f>IF($E$2=22.5,'S3'!Y78,IF($E$2=23.5,'S3'!Z78,IF($E$2=24.5,'S3'!AA78,IF($E$2=25.5,'S3'!AB78,IF($E$2=26.5,'S3'!AC78,IF($E$2=27.5,'S3'!AD78,IF($E$2=28.5,'S3'!AE78,IF($E$2=29.5,'S3'!AF78,IF($E$2=30.5,'S3'!AG78,IF($E$2=31.5,'S3'!AH78,IF($E$2=32.5,'S3'!AI78,IF($E$2=33.5,'S3'!AJ78))))))))))))</f>
        <v>115.72</v>
      </c>
      <c r="F78" s="74">
        <f t="shared" si="9"/>
        <v>162.01</v>
      </c>
    </row>
    <row r="79" spans="2:6">
      <c r="B79" s="148">
        <v>75</v>
      </c>
      <c r="C79" s="74">
        <f>IF($C$2=22.5,'S3'!A79,IF($C$2=23.5,'S3'!B79,IF($C$2=24.5,'S3'!C79,IF($C$2=25.5,'S3'!D79,IF($C$2=26.5,'S3'!E79,IF($C$2=27.5,'S3'!F79,IF($C$2=28.5,'S3'!G79,IF($C$2=29.5,'S3'!H79,IF($C$2=30.5,'S3'!I79,IF($C$2=31.5,'S3'!J79,IF($C$2=32.5,'S3'!K79,IF($C$2=33.5,'S3'!L79))))))))))))</f>
        <v>188.29</v>
      </c>
      <c r="D79" s="74">
        <f t="shared" si="8"/>
        <v>263.61</v>
      </c>
      <c r="E79" s="74">
        <f>IF($E$2=22.5,'S3'!Y79,IF($E$2=23.5,'S3'!Z79,IF($E$2=24.5,'S3'!AA79,IF($E$2=25.5,'S3'!AB79,IF($E$2=26.5,'S3'!AC79,IF($E$2=27.5,'S3'!AD79,IF($E$2=28.5,'S3'!AE79,IF($E$2=29.5,'S3'!AF79,IF($E$2=30.5,'S3'!AG79,IF($E$2=31.5,'S3'!AH79,IF($E$2=32.5,'S3'!AI79,IF($E$2=33.5,'S3'!AJ79))))))))))))</f>
        <v>117.27</v>
      </c>
      <c r="F79" s="74">
        <f t="shared" si="9"/>
        <v>164.18</v>
      </c>
    </row>
    <row r="80" spans="2:6">
      <c r="B80" s="148">
        <v>76</v>
      </c>
      <c r="C80" s="74">
        <f>IF($C$2=22.5,'S3'!A80,IF($C$2=23.5,'S3'!B80,IF($C$2=24.5,'S3'!C80,IF($C$2=25.5,'S3'!D80,IF($C$2=26.5,'S3'!E80,IF($C$2=27.5,'S3'!F80,IF($C$2=28.5,'S3'!G80,IF($C$2=29.5,'S3'!H80,IF($C$2=30.5,'S3'!I80,IF($C$2=31.5,'S3'!J80,IF($C$2=32.5,'S3'!K80,IF($C$2=33.5,'S3'!L80))))))))))))</f>
        <v>190.83</v>
      </c>
      <c r="D80" s="74">
        <f t="shared" si="8"/>
        <v>267.16000000000003</v>
      </c>
      <c r="E80" s="74">
        <f>IF($E$2=22.5,'S3'!Y80,IF($E$2=23.5,'S3'!Z80,IF($E$2=24.5,'S3'!AA80,IF($E$2=25.5,'S3'!AB80,IF($E$2=26.5,'S3'!AC80,IF($E$2=27.5,'S3'!AD80,IF($E$2=28.5,'S3'!AE80,IF($E$2=29.5,'S3'!AF80,IF($E$2=30.5,'S3'!AG80,IF($E$2=31.5,'S3'!AH80,IF($E$2=32.5,'S3'!AI80,IF($E$2=33.5,'S3'!AJ80))))))))))))</f>
        <v>118.82</v>
      </c>
      <c r="F80" s="74">
        <f t="shared" si="9"/>
        <v>166.35</v>
      </c>
    </row>
    <row r="81" spans="2:6">
      <c r="B81" s="148">
        <v>77</v>
      </c>
      <c r="C81" s="74">
        <f>IF($C$2=22.5,'S3'!A81,IF($C$2=23.5,'S3'!B81,IF($C$2=24.5,'S3'!C81,IF($C$2=25.5,'S3'!D81,IF($C$2=26.5,'S3'!E81,IF($C$2=27.5,'S3'!F81,IF($C$2=28.5,'S3'!G81,IF($C$2=29.5,'S3'!H81,IF($C$2=30.5,'S3'!I81,IF($C$2=31.5,'S3'!J81,IF($C$2=32.5,'S3'!K81,IF($C$2=33.5,'S3'!L81))))))))))))</f>
        <v>193.29</v>
      </c>
      <c r="D81" s="74">
        <f t="shared" si="8"/>
        <v>270.61</v>
      </c>
      <c r="E81" s="74">
        <f>IF($E$2=22.5,'S3'!Y81,IF($E$2=23.5,'S3'!Z81,IF($E$2=24.5,'S3'!AA81,IF($E$2=25.5,'S3'!AB81,IF($E$2=26.5,'S3'!AC81,IF($E$2=27.5,'S3'!AD81,IF($E$2=28.5,'S3'!AE81,IF($E$2=29.5,'S3'!AF81,IF($E$2=30.5,'S3'!AG81,IF($E$2=31.5,'S3'!AH81,IF($E$2=32.5,'S3'!AI81,IF($E$2=33.5,'S3'!AJ81))))))))))))</f>
        <v>120.37</v>
      </c>
      <c r="F81" s="74">
        <f t="shared" si="9"/>
        <v>168.52</v>
      </c>
    </row>
    <row r="82" spans="2:6">
      <c r="B82" s="148">
        <v>78</v>
      </c>
      <c r="C82" s="74">
        <f>IF($C$2=22.5,'S3'!A82,IF($C$2=23.5,'S3'!B82,IF($C$2=24.5,'S3'!C82,IF($C$2=25.5,'S3'!D82,IF($C$2=26.5,'S3'!E82,IF($C$2=27.5,'S3'!F82,IF($C$2=28.5,'S3'!G82,IF($C$2=29.5,'S3'!H82,IF($C$2=30.5,'S3'!I82,IF($C$2=31.5,'S3'!J82,IF($C$2=32.5,'S3'!K82,IF($C$2=33.5,'S3'!L82))))))))))))</f>
        <v>195.76</v>
      </c>
      <c r="D82" s="74">
        <f t="shared" si="8"/>
        <v>274.06</v>
      </c>
      <c r="E82" s="74">
        <f>IF($E$2=22.5,'S3'!Y82,IF($E$2=23.5,'S3'!Z82,IF($E$2=24.5,'S3'!AA82,IF($E$2=25.5,'S3'!AB82,IF($E$2=26.5,'S3'!AC82,IF($E$2=27.5,'S3'!AD82,IF($E$2=28.5,'S3'!AE82,IF($E$2=29.5,'S3'!AF82,IF($E$2=30.5,'S3'!AG82,IF($E$2=31.5,'S3'!AH82,IF($E$2=32.5,'S3'!AI82,IF($E$2=33.5,'S3'!AJ82))))))))))))</f>
        <v>121.93</v>
      </c>
      <c r="F82" s="74">
        <f t="shared" si="9"/>
        <v>170.7</v>
      </c>
    </row>
    <row r="83" spans="2:6">
      <c r="B83" s="148">
        <v>79</v>
      </c>
      <c r="C83" s="74">
        <f>IF($C$2=22.5,'S3'!A83,IF($C$2=23.5,'S3'!B83,IF($C$2=24.5,'S3'!C83,IF($C$2=25.5,'S3'!D83,IF($C$2=26.5,'S3'!E83,IF($C$2=27.5,'S3'!F83,IF($C$2=28.5,'S3'!G83,IF($C$2=29.5,'S3'!H83,IF($C$2=30.5,'S3'!I83,IF($C$2=31.5,'S3'!J83,IF($C$2=32.5,'S3'!K83,IF($C$2=33.5,'S3'!L83))))))))))))</f>
        <v>198.34</v>
      </c>
      <c r="D83" s="74">
        <f t="shared" si="8"/>
        <v>277.68</v>
      </c>
      <c r="E83" s="74">
        <f>IF($E$2=22.5,'S3'!Y83,IF($E$2=23.5,'S3'!Z83,IF($E$2=24.5,'S3'!AA83,IF($E$2=25.5,'S3'!AB83,IF($E$2=26.5,'S3'!AC83,IF($E$2=27.5,'S3'!AD83,IF($E$2=28.5,'S3'!AE83,IF($E$2=29.5,'S3'!AF83,IF($E$2=30.5,'S3'!AG83,IF($E$2=31.5,'S3'!AH83,IF($E$2=32.5,'S3'!AI83,IF($E$2=33.5,'S3'!AJ83))))))))))))</f>
        <v>123.48</v>
      </c>
      <c r="F83" s="74">
        <f t="shared" si="9"/>
        <v>172.87</v>
      </c>
    </row>
    <row r="84" spans="2:6">
      <c r="B84" s="148">
        <v>80</v>
      </c>
      <c r="C84" s="74">
        <f>IF($C$2=22.5,'S3'!A84,IF($C$2=23.5,'S3'!B84,IF($C$2=24.5,'S3'!C84,IF($C$2=25.5,'S3'!D84,IF($C$2=26.5,'S3'!E84,IF($C$2=27.5,'S3'!F84,IF($C$2=28.5,'S3'!G84,IF($C$2=29.5,'S3'!H84,IF($C$2=30.5,'S3'!I84,IF($C$2=31.5,'S3'!J84,IF($C$2=32.5,'S3'!K84,IF($C$2=33.5,'S3'!L84))))))))))))</f>
        <v>200.83</v>
      </c>
      <c r="D84" s="74">
        <f t="shared" si="8"/>
        <v>281.16000000000003</v>
      </c>
      <c r="E84" s="74">
        <f>IF($E$2=22.5,'S3'!Y84,IF($E$2=23.5,'S3'!Z84,IF($E$2=24.5,'S3'!AA84,IF($E$2=25.5,'S3'!AB84,IF($E$2=26.5,'S3'!AC84,IF($E$2=27.5,'S3'!AD84,IF($E$2=28.5,'S3'!AE84,IF($E$2=29.5,'S3'!AF84,IF($E$2=30.5,'S3'!AG84,IF($E$2=31.5,'S3'!AH84,IF($E$2=32.5,'S3'!AI84,IF($E$2=33.5,'S3'!AJ84))))))))))))</f>
        <v>125.05</v>
      </c>
      <c r="F84" s="74">
        <f t="shared" si="9"/>
        <v>175.07</v>
      </c>
    </row>
    <row r="85" spans="2:6">
      <c r="B85" s="148">
        <v>81</v>
      </c>
      <c r="C85" s="74">
        <f>IF($C$2=22.5,'S3'!A85,IF($C$2=23.5,'S3'!B85,IF($C$2=24.5,'S3'!C85,IF($C$2=25.5,'S3'!D85,IF($C$2=26.5,'S3'!E85,IF($C$2=27.5,'S3'!F85,IF($C$2=28.5,'S3'!G85,IF($C$2=29.5,'S3'!H85,IF($C$2=30.5,'S3'!I85,IF($C$2=31.5,'S3'!J85,IF($C$2=32.5,'S3'!K85,IF($C$2=33.5,'S3'!L85))))))))))))</f>
        <v>203.33</v>
      </c>
      <c r="D85" s="74">
        <f t="shared" si="8"/>
        <v>284.66000000000003</v>
      </c>
      <c r="E85" s="74">
        <f>IF($E$2=22.5,'S3'!Y85,IF($E$2=23.5,'S3'!Z85,IF($E$2=24.5,'S3'!AA85,IF($E$2=25.5,'S3'!AB85,IF($E$2=26.5,'S3'!AC85,IF($E$2=27.5,'S3'!AD85,IF($E$2=28.5,'S3'!AE85,IF($E$2=29.5,'S3'!AF85,IF($E$2=30.5,'S3'!AG85,IF($E$2=31.5,'S3'!AH85,IF($E$2=32.5,'S3'!AI85,IF($E$2=33.5,'S3'!AJ85))))))))))))</f>
        <v>126.61</v>
      </c>
      <c r="F85" s="74">
        <f t="shared" si="9"/>
        <v>177.25</v>
      </c>
    </row>
    <row r="86" spans="2:6">
      <c r="B86" s="148">
        <v>82</v>
      </c>
      <c r="C86" s="74">
        <f>IF($C$2=22.5,'S3'!A86,IF($C$2=23.5,'S3'!B86,IF($C$2=24.5,'S3'!C86,IF($C$2=25.5,'S3'!D86,IF($C$2=26.5,'S3'!E86,IF($C$2=27.5,'S3'!F86,IF($C$2=28.5,'S3'!G86,IF($C$2=29.5,'S3'!H86,IF($C$2=30.5,'S3'!I86,IF($C$2=31.5,'S3'!J86,IF($C$2=32.5,'S3'!K86,IF($C$2=33.5,'S3'!L86))))))))))))</f>
        <v>205.73</v>
      </c>
      <c r="D86" s="74">
        <f t="shared" si="8"/>
        <v>288.02</v>
      </c>
      <c r="E86" s="74">
        <f>IF($E$2=22.5,'S3'!Y86,IF($E$2=23.5,'S3'!Z86,IF($E$2=24.5,'S3'!AA86,IF($E$2=25.5,'S3'!AB86,IF($E$2=26.5,'S3'!AC86,IF($E$2=27.5,'S3'!AD86,IF($E$2=28.5,'S3'!AE86,IF($E$2=29.5,'S3'!AF86,IF($E$2=30.5,'S3'!AG86,IF($E$2=31.5,'S3'!AH86,IF($E$2=32.5,'S3'!AI86,IF($E$2=33.5,'S3'!AJ86))))))))))))</f>
        <v>128.15</v>
      </c>
      <c r="F86" s="74">
        <f t="shared" si="9"/>
        <v>179.41</v>
      </c>
    </row>
    <row r="87" spans="2:6">
      <c r="B87" s="148">
        <v>83</v>
      </c>
      <c r="C87" s="74">
        <f>IF($C$2=22.5,'S3'!A87,IF($C$2=23.5,'S3'!B87,IF($C$2=24.5,'S3'!C87,IF($C$2=25.5,'S3'!D87,IF($C$2=26.5,'S3'!E87,IF($C$2=27.5,'S3'!F87,IF($C$2=28.5,'S3'!G87,IF($C$2=29.5,'S3'!H87,IF($C$2=30.5,'S3'!I87,IF($C$2=31.5,'S3'!J87,IF($C$2=32.5,'S3'!K87,IF($C$2=33.5,'S3'!L87))))))))))))</f>
        <v>208.25</v>
      </c>
      <c r="D87" s="74">
        <f t="shared" si="8"/>
        <v>291.55</v>
      </c>
      <c r="E87" s="74">
        <f>IF($E$2=22.5,'S3'!Y87,IF($E$2=23.5,'S3'!Z87,IF($E$2=24.5,'S3'!AA87,IF($E$2=25.5,'S3'!AB87,IF($E$2=26.5,'S3'!AC87,IF($E$2=27.5,'S3'!AD87,IF($E$2=28.5,'S3'!AE87,IF($E$2=29.5,'S3'!AF87,IF($E$2=30.5,'S3'!AG87,IF($E$2=31.5,'S3'!AH87,IF($E$2=32.5,'S3'!AI87,IF($E$2=33.5,'S3'!AJ87))))))))))))</f>
        <v>129.72</v>
      </c>
      <c r="F87" s="74">
        <f t="shared" si="9"/>
        <v>181.61</v>
      </c>
    </row>
    <row r="88" spans="2:6">
      <c r="B88" s="148">
        <v>84</v>
      </c>
      <c r="C88" s="74">
        <f>IF($C$2=22.5,'S3'!A88,IF($C$2=23.5,'S3'!B88,IF($C$2=24.5,'S3'!C88,IF($C$2=25.5,'S3'!D88,IF($C$2=26.5,'S3'!E88,IF($C$2=27.5,'S3'!F88,IF($C$2=28.5,'S3'!G88,IF($C$2=29.5,'S3'!H88,IF($C$2=30.5,'S3'!I88,IF($C$2=31.5,'S3'!J88,IF($C$2=32.5,'S3'!K88,IF($C$2=33.5,'S3'!L88))))))))))))</f>
        <v>210.78</v>
      </c>
      <c r="D88" s="74">
        <f t="shared" si="8"/>
        <v>295.08999999999997</v>
      </c>
      <c r="E88" s="74">
        <f>IF($E$2=22.5,'S3'!Y88,IF($E$2=23.5,'S3'!Z88,IF($E$2=24.5,'S3'!AA88,IF($E$2=25.5,'S3'!AB88,IF($E$2=26.5,'S3'!AC88,IF($E$2=27.5,'S3'!AD88,IF($E$2=28.5,'S3'!AE88,IF($E$2=29.5,'S3'!AF88,IF($E$2=30.5,'S3'!AG88,IF($E$2=31.5,'S3'!AH88,IF($E$2=32.5,'S3'!AI88,IF($E$2=33.5,'S3'!AJ88))))))))))))</f>
        <v>131.36000000000001</v>
      </c>
      <c r="F88" s="74">
        <f t="shared" si="9"/>
        <v>183.9</v>
      </c>
    </row>
    <row r="89" spans="2:6">
      <c r="B89" s="148">
        <v>85</v>
      </c>
      <c r="C89" s="74">
        <f>IF($C$2=22.5,'S3'!A89,IF($C$2=23.5,'S3'!B89,IF($C$2=24.5,'S3'!C89,IF($C$2=25.5,'S3'!D89,IF($C$2=26.5,'S3'!E89,IF($C$2=27.5,'S3'!F89,IF($C$2=28.5,'S3'!G89,IF($C$2=29.5,'S3'!H89,IF($C$2=30.5,'S3'!I89,IF($C$2=31.5,'S3'!J89,IF($C$2=32.5,'S3'!K89,IF($C$2=33.5,'S3'!L89))))))))))))</f>
        <v>213.32</v>
      </c>
      <c r="D89" s="74">
        <f t="shared" si="8"/>
        <v>298.64999999999998</v>
      </c>
      <c r="E89" s="74">
        <f>IF($E$2=22.5,'S3'!Y89,IF($E$2=23.5,'S3'!Z89,IF($E$2=24.5,'S3'!AA89,IF($E$2=25.5,'S3'!AB89,IF($E$2=26.5,'S3'!AC89,IF($E$2=27.5,'S3'!AD89,IF($E$2=28.5,'S3'!AE89,IF($E$2=29.5,'S3'!AF89,IF($E$2=30.5,'S3'!AG89,IF($E$2=31.5,'S3'!AH89,IF($E$2=32.5,'S3'!AI89,IF($E$2=33.5,'S3'!AJ89))))))))))))</f>
        <v>132.83000000000001</v>
      </c>
      <c r="F89" s="74">
        <f t="shared" si="9"/>
        <v>185.96</v>
      </c>
    </row>
    <row r="90" spans="2:6">
      <c r="B90" s="148">
        <v>86</v>
      </c>
      <c r="C90" s="74">
        <f>IF($C$2=22.5,'S3'!A90,IF($C$2=23.5,'S3'!B90,IF($C$2=24.5,'S3'!C90,IF($C$2=25.5,'S3'!D90,IF($C$2=26.5,'S3'!E90,IF($C$2=27.5,'S3'!F90,IF($C$2=28.5,'S3'!G90,IF($C$2=29.5,'S3'!H90,IF($C$2=30.5,'S3'!I90,IF($C$2=31.5,'S3'!J90,IF($C$2=32.5,'S3'!K90,IF($C$2=33.5,'S3'!L90))))))))))))</f>
        <v>215.75</v>
      </c>
      <c r="D90" s="74">
        <f t="shared" si="8"/>
        <v>302.05</v>
      </c>
      <c r="E90" s="74">
        <f>IF($E$2=22.5,'S3'!Y90,IF($E$2=23.5,'S3'!Z90,IF($E$2=24.5,'S3'!AA90,IF($E$2=25.5,'S3'!AB90,IF($E$2=26.5,'S3'!AC90,IF($E$2=27.5,'S3'!AD90,IF($E$2=28.5,'S3'!AE90,IF($E$2=29.5,'S3'!AF90,IF($E$2=30.5,'S3'!AG90,IF($E$2=31.5,'S3'!AH90,IF($E$2=32.5,'S3'!AI90,IF($E$2=33.5,'S3'!AJ90))))))))))))</f>
        <v>134.38</v>
      </c>
      <c r="F90" s="74">
        <f t="shared" si="9"/>
        <v>188.13</v>
      </c>
    </row>
    <row r="91" spans="2:6">
      <c r="B91" s="148">
        <v>87</v>
      </c>
      <c r="C91" s="74">
        <f>IF($C$2=22.5,'S3'!A91,IF($C$2=23.5,'S3'!B91,IF($C$2=24.5,'S3'!C91,IF($C$2=25.5,'S3'!D91,IF($C$2=26.5,'S3'!E91,IF($C$2=27.5,'S3'!F91,IF($C$2=28.5,'S3'!G91,IF($C$2=29.5,'S3'!H91,IF($C$2=30.5,'S3'!I91,IF($C$2=31.5,'S3'!J91,IF($C$2=32.5,'S3'!K91,IF($C$2=33.5,'S3'!L91))))))))))))</f>
        <v>218.19</v>
      </c>
      <c r="D91" s="74">
        <f t="shared" si="8"/>
        <v>305.47000000000003</v>
      </c>
      <c r="E91" s="74">
        <f>IF($E$2=22.5,'S3'!Y91,IF($E$2=23.5,'S3'!Z91,IF($E$2=24.5,'S3'!AA91,IF($E$2=25.5,'S3'!AB91,IF($E$2=26.5,'S3'!AC91,IF($E$2=27.5,'S3'!AD91,IF($E$2=28.5,'S3'!AE91,IF($E$2=29.5,'S3'!AF91,IF($E$2=30.5,'S3'!AG91,IF($E$2=31.5,'S3'!AH91,IF($E$2=32.5,'S3'!AI91,IF($E$2=33.5,'S3'!AJ91))))))))))))</f>
        <v>135.91999999999999</v>
      </c>
      <c r="F91" s="74">
        <f t="shared" si="9"/>
        <v>190.29</v>
      </c>
    </row>
    <row r="92" spans="2:6">
      <c r="B92" s="148">
        <v>88</v>
      </c>
      <c r="C92" s="74">
        <f>IF($C$2=22.5,'S3'!A92,IF($C$2=23.5,'S3'!B92,IF($C$2=24.5,'S3'!C92,IF($C$2=25.5,'S3'!D92,IF($C$2=26.5,'S3'!E92,IF($C$2=27.5,'S3'!F92,IF($C$2=28.5,'S3'!G92,IF($C$2=29.5,'S3'!H92,IF($C$2=30.5,'S3'!I92,IF($C$2=31.5,'S3'!J92,IF($C$2=32.5,'S3'!K92,IF($C$2=33.5,'S3'!L92))))))))))))</f>
        <v>220.77</v>
      </c>
      <c r="D92" s="74">
        <f t="shared" si="8"/>
        <v>309.08</v>
      </c>
      <c r="E92" s="74">
        <f>IF($E$2=22.5,'S3'!Y92,IF($E$2=23.5,'S3'!Z92,IF($E$2=24.5,'S3'!AA92,IF($E$2=25.5,'S3'!AB92,IF($E$2=26.5,'S3'!AC92,IF($E$2=27.5,'S3'!AD92,IF($E$2=28.5,'S3'!AE92,IF($E$2=29.5,'S3'!AF92,IF($E$2=30.5,'S3'!AG92,IF($E$2=31.5,'S3'!AH92,IF($E$2=32.5,'S3'!AI92,IF($E$2=33.5,'S3'!AJ92))))))))))))</f>
        <v>137.47</v>
      </c>
      <c r="F92" s="74">
        <f t="shared" si="9"/>
        <v>192.46</v>
      </c>
    </row>
    <row r="93" spans="2:6">
      <c r="B93" s="148">
        <v>89</v>
      </c>
      <c r="C93" s="74">
        <f>IF($C$2=22.5,'S3'!A93,IF($C$2=23.5,'S3'!B93,IF($C$2=24.5,'S3'!C93,IF($C$2=25.5,'S3'!D93,IF($C$2=26.5,'S3'!E93,IF($C$2=27.5,'S3'!F93,IF($C$2=28.5,'S3'!G93,IF($C$2=29.5,'S3'!H93,IF($C$2=30.5,'S3'!I93,IF($C$2=31.5,'S3'!J93,IF($C$2=32.5,'S3'!K93,IF($C$2=33.5,'S3'!L93))))))))))))</f>
        <v>223.22</v>
      </c>
      <c r="D93" s="74">
        <f t="shared" si="8"/>
        <v>312.51</v>
      </c>
      <c r="E93" s="74">
        <f>IF($E$2=22.5,'S3'!Y93,IF($E$2=23.5,'S3'!Z93,IF($E$2=24.5,'S3'!AA93,IF($E$2=25.5,'S3'!AB93,IF($E$2=26.5,'S3'!AC93,IF($E$2=27.5,'S3'!AD93,IF($E$2=28.5,'S3'!AE93,IF($E$2=29.5,'S3'!AF93,IF($E$2=30.5,'S3'!AG93,IF($E$2=31.5,'S3'!AH93,IF($E$2=32.5,'S3'!AI93,IF($E$2=33.5,'S3'!AJ93))))))))))))</f>
        <v>139.02000000000001</v>
      </c>
      <c r="F93" s="74">
        <f t="shared" si="9"/>
        <v>194.63</v>
      </c>
    </row>
    <row r="94" spans="2:6">
      <c r="B94" s="148">
        <v>90</v>
      </c>
      <c r="C94" s="74">
        <f>IF($C$2=22.5,'S3'!A94,IF($C$2=23.5,'S3'!B94,IF($C$2=24.5,'S3'!C94,IF($C$2=25.5,'S3'!D94,IF($C$2=26.5,'S3'!E94,IF($C$2=27.5,'S3'!F94,IF($C$2=28.5,'S3'!G94,IF($C$2=29.5,'S3'!H94,IF($C$2=30.5,'S3'!I94,IF($C$2=31.5,'S3'!J94,IF($C$2=32.5,'S3'!K94,IF($C$2=33.5,'S3'!L94))))))))))))</f>
        <v>225.69</v>
      </c>
      <c r="D94" s="74">
        <f t="shared" si="8"/>
        <v>315.97000000000003</v>
      </c>
      <c r="E94" s="74">
        <f>IF($E$2=22.5,'S3'!Y94,IF($E$2=23.5,'S3'!Z94,IF($E$2=24.5,'S3'!AA94,IF($E$2=25.5,'S3'!AB94,IF($E$2=26.5,'S3'!AC94,IF($E$2=27.5,'S3'!AD94,IF($E$2=28.5,'S3'!AE94,IF($E$2=29.5,'S3'!AF94,IF($E$2=30.5,'S3'!AG94,IF($E$2=31.5,'S3'!AH94,IF($E$2=32.5,'S3'!AI94,IF($E$2=33.5,'S3'!AJ94))))))))))))</f>
        <v>140.61000000000001</v>
      </c>
      <c r="F94" s="74">
        <f t="shared" si="9"/>
        <v>196.85</v>
      </c>
    </row>
    <row r="95" spans="2:6">
      <c r="B95" s="148">
        <v>91</v>
      </c>
      <c r="C95" s="74">
        <f>IF($C$2=22.5,'S3'!A95,IF($C$2=23.5,'S3'!B95,IF($C$2=24.5,'S3'!C95,IF($C$2=25.5,'S3'!D95,IF($C$2=26.5,'S3'!E95,IF($C$2=27.5,'S3'!F95,IF($C$2=28.5,'S3'!G95,IF($C$2=29.5,'S3'!H95,IF($C$2=30.5,'S3'!I95,IF($C$2=31.5,'S3'!J95,IF($C$2=32.5,'S3'!K95,IF($C$2=33.5,'S3'!L95))))))))))))</f>
        <v>228.3</v>
      </c>
      <c r="D95" s="74">
        <f t="shared" si="8"/>
        <v>319.62</v>
      </c>
      <c r="E95" s="74">
        <f>IF($E$2=22.5,'S3'!Y95,IF($E$2=23.5,'S3'!Z95,IF($E$2=24.5,'S3'!AA95,IF($E$2=25.5,'S3'!AB95,IF($E$2=26.5,'S3'!AC95,IF($E$2=27.5,'S3'!AD95,IF($E$2=28.5,'S3'!AE95,IF($E$2=29.5,'S3'!AF95,IF($E$2=30.5,'S3'!AG95,IF($E$2=31.5,'S3'!AH95,IF($E$2=32.5,'S3'!AI95,IF($E$2=33.5,'S3'!AJ95))))))))))))</f>
        <v>142.16999999999999</v>
      </c>
      <c r="F95" s="74">
        <f t="shared" si="9"/>
        <v>199.04</v>
      </c>
    </row>
    <row r="96" spans="2:6">
      <c r="B96" s="148">
        <v>92</v>
      </c>
      <c r="C96" s="74">
        <f>IF($C$2=22.5,'S3'!A96,IF($C$2=23.5,'S3'!B96,IF($C$2=24.5,'S3'!C96,IF($C$2=25.5,'S3'!D96,IF($C$2=26.5,'S3'!E96,IF($C$2=27.5,'S3'!F96,IF($C$2=28.5,'S3'!G96,IF($C$2=29.5,'S3'!H96,IF($C$2=30.5,'S3'!I96,IF($C$2=31.5,'S3'!J96,IF($C$2=32.5,'S3'!K96,IF($C$2=33.5,'S3'!L96))))))))))))</f>
        <v>230.79</v>
      </c>
      <c r="D96" s="74">
        <f t="shared" si="8"/>
        <v>323.11</v>
      </c>
      <c r="E96" s="74">
        <f>IF($E$2=22.5,'S3'!Y96,IF($E$2=23.5,'S3'!Z96,IF($E$2=24.5,'S3'!AA96,IF($E$2=25.5,'S3'!AB96,IF($E$2=26.5,'S3'!AC96,IF($E$2=27.5,'S3'!AD96,IF($E$2=28.5,'S3'!AE96,IF($E$2=29.5,'S3'!AF96,IF($E$2=30.5,'S3'!AG96,IF($E$2=31.5,'S3'!AH96,IF($E$2=32.5,'S3'!AI96,IF($E$2=33.5,'S3'!AJ96))))))))))))</f>
        <v>143.69</v>
      </c>
      <c r="F96" s="74">
        <f t="shared" si="9"/>
        <v>201.17</v>
      </c>
    </row>
    <row r="97" spans="2:6">
      <c r="B97" s="148">
        <v>93</v>
      </c>
      <c r="C97" s="74">
        <f>IF($C$2=22.5,'S3'!A97,IF($C$2=23.5,'S3'!B97,IF($C$2=24.5,'S3'!C97,IF($C$2=25.5,'S3'!D97,IF($C$2=26.5,'S3'!E97,IF($C$2=27.5,'S3'!F97,IF($C$2=28.5,'S3'!G97,IF($C$2=29.5,'S3'!H97,IF($C$2=30.5,'S3'!I97,IF($C$2=31.5,'S3'!J97,IF($C$2=32.5,'S3'!K97,IF($C$2=33.5,'S3'!L97))))))))))))</f>
        <v>233.28</v>
      </c>
      <c r="D97" s="74">
        <f t="shared" si="8"/>
        <v>326.58999999999997</v>
      </c>
      <c r="E97" s="74">
        <f>IF($E$2=22.5,'S3'!Y97,IF($E$2=23.5,'S3'!Z97,IF($E$2=24.5,'S3'!AA97,IF($E$2=25.5,'S3'!AB97,IF($E$2=26.5,'S3'!AC97,IF($E$2=27.5,'S3'!AD97,IF($E$2=28.5,'S3'!AE97,IF($E$2=29.5,'S3'!AF97,IF($E$2=30.5,'S3'!AG97,IF($E$2=31.5,'S3'!AH97,IF($E$2=32.5,'S3'!AI97,IF($E$2=33.5,'S3'!AJ97))))))))))))</f>
        <v>145.25</v>
      </c>
      <c r="F97" s="74">
        <f t="shared" si="9"/>
        <v>203.35</v>
      </c>
    </row>
    <row r="98" spans="2:6">
      <c r="B98" s="148">
        <v>94</v>
      </c>
      <c r="C98" s="74">
        <f>IF($C$2=22.5,'S3'!A98,IF($C$2=23.5,'S3'!B98,IF($C$2=24.5,'S3'!C98,IF($C$2=25.5,'S3'!D98,IF($C$2=26.5,'S3'!E98,IF($C$2=27.5,'S3'!F98,IF($C$2=28.5,'S3'!G98,IF($C$2=29.5,'S3'!H98,IF($C$2=30.5,'S3'!I98,IF($C$2=31.5,'S3'!J98,IF($C$2=32.5,'S3'!K98,IF($C$2=33.5,'S3'!L98))))))))))))</f>
        <v>235.78</v>
      </c>
      <c r="D98" s="74">
        <f t="shared" si="8"/>
        <v>330.09</v>
      </c>
      <c r="E98" s="74">
        <f>IF($E$2=22.5,'S3'!Y98,IF($E$2=23.5,'S3'!Z98,IF($E$2=24.5,'S3'!AA98,IF($E$2=25.5,'S3'!AB98,IF($E$2=26.5,'S3'!AC98,IF($E$2=27.5,'S3'!AD98,IF($E$2=28.5,'S3'!AE98,IF($E$2=29.5,'S3'!AF98,IF($E$2=30.5,'S3'!AG98,IF($E$2=31.5,'S3'!AH98,IF($E$2=32.5,'S3'!AI98,IF($E$2=33.5,'S3'!AJ98))))))))))))</f>
        <v>146.81</v>
      </c>
      <c r="F98" s="74">
        <f t="shared" si="9"/>
        <v>205.53</v>
      </c>
    </row>
    <row r="99" spans="2:6">
      <c r="B99" s="148">
        <v>95</v>
      </c>
      <c r="C99" s="74">
        <f>IF($C$2=22.5,'S3'!A99,IF($C$2=23.5,'S3'!B99,IF($C$2=24.5,'S3'!C99,IF($C$2=25.5,'S3'!D99,IF($C$2=26.5,'S3'!E99,IF($C$2=27.5,'S3'!F99,IF($C$2=28.5,'S3'!G99,IF($C$2=29.5,'S3'!H99,IF($C$2=30.5,'S3'!I99,IF($C$2=31.5,'S3'!J99,IF($C$2=32.5,'S3'!K99,IF($C$2=33.5,'S3'!L99))))))))))))</f>
        <v>238.14</v>
      </c>
      <c r="D99" s="74">
        <f t="shared" si="8"/>
        <v>333.4</v>
      </c>
      <c r="E99" s="74">
        <f>IF($E$2=22.5,'S3'!Y99,IF($E$2=23.5,'S3'!Z99,IF($E$2=24.5,'S3'!AA99,IF($E$2=25.5,'S3'!AB99,IF($E$2=26.5,'S3'!AC99,IF($E$2=27.5,'S3'!AD99,IF($E$2=28.5,'S3'!AE99,IF($E$2=29.5,'S3'!AF99,IF($E$2=30.5,'S3'!AG99,IF($E$2=31.5,'S3'!AH99,IF($E$2=32.5,'S3'!AI99,IF($E$2=33.5,'S3'!AJ99))))))))))))</f>
        <v>148.38</v>
      </c>
      <c r="F99" s="74">
        <f t="shared" si="9"/>
        <v>207.73</v>
      </c>
    </row>
    <row r="100" spans="2:6">
      <c r="B100" s="148">
        <v>96</v>
      </c>
      <c r="C100" s="74">
        <f>IF($C$2=22.5,'S3'!A100,IF($C$2=23.5,'S3'!B100,IF($C$2=24.5,'S3'!C100,IF($C$2=25.5,'S3'!D100,IF($C$2=26.5,'S3'!E100,IF($C$2=27.5,'S3'!F100,IF($C$2=28.5,'S3'!G100,IF($C$2=29.5,'S3'!H100,IF($C$2=30.5,'S3'!I100,IF($C$2=31.5,'S3'!J100,IF($C$2=32.5,'S3'!K100,IF($C$2=33.5,'S3'!L100))))))))))))</f>
        <v>240.66</v>
      </c>
      <c r="D100" s="74">
        <f t="shared" si="8"/>
        <v>336.92</v>
      </c>
      <c r="E100" s="74">
        <f>IF($E$2=22.5,'S3'!Y100,IF($E$2=23.5,'S3'!Z100,IF($E$2=24.5,'S3'!AA100,IF($E$2=25.5,'S3'!AB100,IF($E$2=26.5,'S3'!AC100,IF($E$2=27.5,'S3'!AD100,IF($E$2=28.5,'S3'!AE100,IF($E$2=29.5,'S3'!AF100,IF($E$2=30.5,'S3'!AG100,IF($E$2=31.5,'S3'!AH100,IF($E$2=32.5,'S3'!AI100,IF($E$2=33.5,'S3'!AJ100))))))))))))</f>
        <v>149.94999999999999</v>
      </c>
      <c r="F100" s="74">
        <f t="shared" si="9"/>
        <v>209.93</v>
      </c>
    </row>
    <row r="101" spans="2:6">
      <c r="B101" s="148">
        <v>97</v>
      </c>
      <c r="C101" s="74">
        <f>IF($C$2=22.5,'S3'!A101,IF($C$2=23.5,'S3'!B101,IF($C$2=24.5,'S3'!C101,IF($C$2=25.5,'S3'!D101,IF($C$2=26.5,'S3'!E101,IF($C$2=27.5,'S3'!F101,IF($C$2=28.5,'S3'!G101,IF($C$2=29.5,'S3'!H101,IF($C$2=30.5,'S3'!I101,IF($C$2=31.5,'S3'!J101,IF($C$2=32.5,'S3'!K101,IF($C$2=33.5,'S3'!L101))))))))))))</f>
        <v>243.18</v>
      </c>
      <c r="D101" s="74">
        <f t="shared" si="8"/>
        <v>340.45</v>
      </c>
      <c r="E101" s="74">
        <f>IF($E$2=22.5,'S3'!Y101,IF($E$2=23.5,'S3'!Z101,IF($E$2=24.5,'S3'!AA101,IF($E$2=25.5,'S3'!AB101,IF($E$2=26.5,'S3'!AC101,IF($E$2=27.5,'S3'!AD101,IF($E$2=28.5,'S3'!AE101,IF($E$2=29.5,'S3'!AF101,IF($E$2=30.5,'S3'!AG101,IF($E$2=31.5,'S3'!AH101,IF($E$2=32.5,'S3'!AI101,IF($E$2=33.5,'S3'!AJ101))))))))))))</f>
        <v>151.47</v>
      </c>
      <c r="F101" s="74">
        <f t="shared" si="9"/>
        <v>212.06</v>
      </c>
    </row>
    <row r="102" spans="2:6">
      <c r="B102" s="148">
        <v>98</v>
      </c>
      <c r="C102" s="74">
        <f>IF($C$2=22.5,'S3'!A102,IF($C$2=23.5,'S3'!B102,IF($C$2=24.5,'S3'!C102,IF($C$2=25.5,'S3'!D102,IF($C$2=26.5,'S3'!E102,IF($C$2=27.5,'S3'!F102,IF($C$2=28.5,'S3'!G102,IF($C$2=29.5,'S3'!H102,IF($C$2=30.5,'S3'!I102,IF($C$2=31.5,'S3'!J102,IF($C$2=32.5,'S3'!K102,IF($C$2=33.5,'S3'!L102))))))))))))</f>
        <v>245.72</v>
      </c>
      <c r="D102" s="74">
        <f t="shared" si="8"/>
        <v>344.01</v>
      </c>
      <c r="E102" s="74">
        <f>IF($E$2=22.5,'S3'!Y102,IF($E$2=23.5,'S3'!Z102,IF($E$2=24.5,'S3'!AA102,IF($E$2=25.5,'S3'!AB102,IF($E$2=26.5,'S3'!AC102,IF($E$2=27.5,'S3'!AD102,IF($E$2=28.5,'S3'!AE102,IF($E$2=29.5,'S3'!AF102,IF($E$2=30.5,'S3'!AG102,IF($E$2=31.5,'S3'!AH102,IF($E$2=32.5,'S3'!AI102,IF($E$2=33.5,'S3'!AJ102))))))))))))</f>
        <v>153.05000000000001</v>
      </c>
      <c r="F102" s="74">
        <f t="shared" si="9"/>
        <v>214.27</v>
      </c>
    </row>
    <row r="103" spans="2:6">
      <c r="B103" s="148">
        <v>99</v>
      </c>
      <c r="C103" s="74">
        <f>IF($C$2=22.5,'S3'!A103,IF($C$2=23.5,'S3'!B103,IF($C$2=24.5,'S3'!C103,IF($C$2=25.5,'S3'!D103,IF($C$2=26.5,'S3'!E103,IF($C$2=27.5,'S3'!F103,IF($C$2=28.5,'S3'!G103,IF($C$2=29.5,'S3'!H103,IF($C$2=30.5,'S3'!I103,IF($C$2=31.5,'S3'!J103,IF($C$2=32.5,'S3'!K103,IF($C$2=33.5,'S3'!L103))))))))))))</f>
        <v>248.27</v>
      </c>
      <c r="D103" s="74">
        <f t="shared" si="8"/>
        <v>347.58</v>
      </c>
      <c r="E103" s="74">
        <f>IF($E$2=22.5,'S3'!Y103,IF($E$2=23.5,'S3'!Z103,IF($E$2=24.5,'S3'!AA103,IF($E$2=25.5,'S3'!AB103,IF($E$2=26.5,'S3'!AC103,IF($E$2=27.5,'S3'!AD103,IF($E$2=28.5,'S3'!AE103,IF($E$2=29.5,'S3'!AF103,IF($E$2=30.5,'S3'!AG103,IF($E$2=31.5,'S3'!AH103,IF($E$2=32.5,'S3'!AI103,IF($E$2=33.5,'S3'!AJ103))))))))))))</f>
        <v>154.58000000000001</v>
      </c>
      <c r="F103" s="74">
        <f t="shared" si="9"/>
        <v>216.41</v>
      </c>
    </row>
    <row r="104" spans="2:6">
      <c r="B104" s="148">
        <v>100</v>
      </c>
      <c r="C104" s="74">
        <f>IF($C$2=22.5,'S3'!A104,IF($C$2=23.5,'S3'!B104,IF($C$2=24.5,'S3'!C104,IF($C$2=25.5,'S3'!D104,IF($C$2=26.5,'S3'!E104,IF($C$2=27.5,'S3'!F104,IF($C$2=28.5,'S3'!G104,IF($C$2=29.5,'S3'!H104,IF($C$2=30.5,'S3'!I104,IF($C$2=31.5,'S3'!J104,IF($C$2=32.5,'S3'!K104,IF($C$2=33.5,'S3'!L104))))))))))))</f>
        <v>250.66</v>
      </c>
      <c r="D104" s="74">
        <f t="shared" si="8"/>
        <v>350.92</v>
      </c>
      <c r="E104" s="74">
        <f>IF($E$2=22.5,'S3'!Y104,IF($E$2=23.5,'S3'!Z104,IF($E$2=24.5,'S3'!AA104,IF($E$2=25.5,'S3'!AB104,IF($E$2=26.5,'S3'!AC104,IF($E$2=27.5,'S3'!AD104,IF($E$2=28.5,'S3'!AE104,IF($E$2=29.5,'S3'!AF104,IF($E$2=30.5,'S3'!AG104,IF($E$2=31.5,'S3'!AH104,IF($E$2=32.5,'S3'!AI104,IF($E$2=33.5,'S3'!AJ104))))))))))))</f>
        <v>156.16</v>
      </c>
      <c r="F104" s="74">
        <f t="shared" si="9"/>
        <v>218.62</v>
      </c>
    </row>
    <row r="105" spans="2:6">
      <c r="B105" s="148">
        <v>101</v>
      </c>
      <c r="C105" s="74">
        <f>IF($C$2=22.5,'S3'!A105,IF($C$2=23.5,'S3'!B105,IF($C$2=24.5,'S3'!C105,IF($C$2=25.5,'S3'!D105,IF($C$2=26.5,'S3'!E105,IF($C$2=27.5,'S3'!F105,IF($C$2=28.5,'S3'!G105,IF($C$2=29.5,'S3'!H105,IF($C$2=30.5,'S3'!I105,IF($C$2=31.5,'S3'!J105,IF($C$2=32.5,'S3'!K105,IF($C$2=33.5,'S3'!L105))))))))))))</f>
        <v>253.23</v>
      </c>
      <c r="D105" s="74">
        <f t="shared" si="8"/>
        <v>354.52</v>
      </c>
      <c r="E105" s="74">
        <f>IF($E$2=22.5,'S3'!Y105,IF($E$2=23.5,'S3'!Z105,IF($E$2=24.5,'S3'!AA105,IF($E$2=25.5,'S3'!AB105,IF($E$2=26.5,'S3'!AC105,IF($E$2=27.5,'S3'!AD105,IF($E$2=28.5,'S3'!AE105,IF($E$2=29.5,'S3'!AF105,IF($E$2=30.5,'S3'!AG105,IF($E$2=31.5,'S3'!AH105,IF($E$2=32.5,'S3'!AI105,IF($E$2=33.5,'S3'!AJ105))))))))))))</f>
        <v>157.69</v>
      </c>
      <c r="F105" s="74">
        <f t="shared" si="9"/>
        <v>220.77</v>
      </c>
    </row>
    <row r="106" spans="2:6">
      <c r="B106" s="148">
        <v>102</v>
      </c>
      <c r="C106" s="74">
        <f>IF($C$2=22.5,'S3'!A106,IF($C$2=23.5,'S3'!B106,IF($C$2=24.5,'S3'!C106,IF($C$2=25.5,'S3'!D106,IF($C$2=26.5,'S3'!E106,IF($C$2=27.5,'S3'!F106,IF($C$2=28.5,'S3'!G106,IF($C$2=29.5,'S3'!H106,IF($C$2=30.5,'S3'!I106,IF($C$2=31.5,'S3'!J106,IF($C$2=32.5,'S3'!K106,IF($C$2=33.5,'S3'!L106))))))))))))</f>
        <v>255.63</v>
      </c>
      <c r="D106" s="74">
        <f t="shared" si="8"/>
        <v>357.88</v>
      </c>
      <c r="E106" s="74">
        <f>IF($E$2=22.5,'S3'!Y106,IF($E$2=23.5,'S3'!Z106,IF($E$2=24.5,'S3'!AA106,IF($E$2=25.5,'S3'!AB106,IF($E$2=26.5,'S3'!AC106,IF($E$2=27.5,'S3'!AD106,IF($E$2=28.5,'S3'!AE106,IF($E$2=29.5,'S3'!AF106,IF($E$2=30.5,'S3'!AG106,IF($E$2=31.5,'S3'!AH106,IF($E$2=32.5,'S3'!AI106,IF($E$2=33.5,'S3'!AJ106))))))))))))</f>
        <v>159.28</v>
      </c>
      <c r="F106" s="74">
        <f t="shared" si="9"/>
        <v>222.99</v>
      </c>
    </row>
    <row r="107" spans="2:6">
      <c r="B107" s="148">
        <v>103</v>
      </c>
      <c r="C107" s="74">
        <f>IF($C$2=22.5,'S3'!A107,IF($C$2=23.5,'S3'!B107,IF($C$2=24.5,'S3'!C107,IF($C$2=25.5,'S3'!D107,IF($C$2=26.5,'S3'!E107,IF($C$2=27.5,'S3'!F107,IF($C$2=28.5,'S3'!G107,IF($C$2=29.5,'S3'!H107,IF($C$2=30.5,'S3'!I107,IF($C$2=31.5,'S3'!J107,IF($C$2=32.5,'S3'!K107,IF($C$2=33.5,'S3'!L107))))))))))))</f>
        <v>258.22000000000003</v>
      </c>
      <c r="D107" s="74">
        <f t="shared" si="8"/>
        <v>361.51</v>
      </c>
      <c r="E107" s="74">
        <f>IF($E$2=22.5,'S3'!Y107,IF($E$2=23.5,'S3'!Z107,IF($E$2=24.5,'S3'!AA107,IF($E$2=25.5,'S3'!AB107,IF($E$2=26.5,'S3'!AC107,IF($E$2=27.5,'S3'!AD107,IF($E$2=28.5,'S3'!AE107,IF($E$2=29.5,'S3'!AF107,IF($E$2=30.5,'S3'!AG107,IF($E$2=31.5,'S3'!AH107,IF($E$2=32.5,'S3'!AI107,IF($E$2=33.5,'S3'!AJ107))))))))))))</f>
        <v>160.81</v>
      </c>
      <c r="F107" s="74">
        <f t="shared" si="9"/>
        <v>225.13</v>
      </c>
    </row>
    <row r="108" spans="2:6">
      <c r="B108" s="148">
        <v>104</v>
      </c>
      <c r="C108" s="74">
        <f>IF($C$2=22.5,'S3'!A108,IF($C$2=23.5,'S3'!B108,IF($C$2=24.5,'S3'!C108,IF($C$2=25.5,'S3'!D108,IF($C$2=26.5,'S3'!E108,IF($C$2=27.5,'S3'!F108,IF($C$2=28.5,'S3'!G108,IF($C$2=29.5,'S3'!H108,IF($C$2=30.5,'S3'!I108,IF($C$2=31.5,'S3'!J108,IF($C$2=32.5,'S3'!K108,IF($C$2=33.5,'S3'!L108))))))))))))</f>
        <v>260.64</v>
      </c>
      <c r="D108" s="74">
        <f t="shared" si="8"/>
        <v>364.9</v>
      </c>
      <c r="E108" s="74">
        <f>IF($E$2=22.5,'S3'!Y108,IF($E$2=23.5,'S3'!Z108,IF($E$2=24.5,'S3'!AA108,IF($E$2=25.5,'S3'!AB108,IF($E$2=26.5,'S3'!AC108,IF($E$2=27.5,'S3'!AD108,IF($E$2=28.5,'S3'!AE108,IF($E$2=29.5,'S3'!AF108,IF($E$2=30.5,'S3'!AG108,IF($E$2=31.5,'S3'!AH108,IF($E$2=32.5,'S3'!AI108,IF($E$2=33.5,'S3'!AJ108))))))))))))</f>
        <v>162.35</v>
      </c>
      <c r="F108" s="74">
        <f t="shared" si="9"/>
        <v>227.29</v>
      </c>
    </row>
    <row r="109" spans="2:6">
      <c r="B109" s="148">
        <v>105</v>
      </c>
      <c r="C109" s="74">
        <f>IF($C$2=22.5,'S3'!A109,IF($C$2=23.5,'S3'!B109,IF($C$2=24.5,'S3'!C109,IF($C$2=25.5,'S3'!D109,IF($C$2=26.5,'S3'!E109,IF($C$2=27.5,'S3'!F109,IF($C$2=28.5,'S3'!G109,IF($C$2=29.5,'S3'!H109,IF($C$2=30.5,'S3'!I109,IF($C$2=31.5,'S3'!J109,IF($C$2=32.5,'S3'!K109,IF($C$2=33.5,'S3'!L109))))))))))))</f>
        <v>263.25</v>
      </c>
      <c r="D109" s="74">
        <f t="shared" si="8"/>
        <v>368.55</v>
      </c>
      <c r="E109" s="74">
        <f>IF($E$2=22.5,'S3'!Y109,IF($E$2=23.5,'S3'!Z109,IF($E$2=24.5,'S3'!AA109,IF($E$2=25.5,'S3'!AB109,IF($E$2=26.5,'S3'!AC109,IF($E$2=27.5,'S3'!AD109,IF($E$2=28.5,'S3'!AE109,IF($E$2=29.5,'S3'!AF109,IF($E$2=30.5,'S3'!AG109,IF($E$2=31.5,'S3'!AH109,IF($E$2=32.5,'S3'!AI109,IF($E$2=33.5,'S3'!AJ109))))))))))))</f>
        <v>163.95</v>
      </c>
      <c r="F109" s="74">
        <f t="shared" si="9"/>
        <v>229.53</v>
      </c>
    </row>
    <row r="110" spans="2:6">
      <c r="B110" s="148">
        <v>106</v>
      </c>
      <c r="C110" s="74">
        <f>IF($C$2=22.5,'S3'!A110,IF($C$2=23.5,'S3'!B110,IF($C$2=24.5,'S3'!C110,IF($C$2=25.5,'S3'!D110,IF($C$2=26.5,'S3'!E110,IF($C$2=27.5,'S3'!F110,IF($C$2=28.5,'S3'!G110,IF($C$2=29.5,'S3'!H110,IF($C$2=30.5,'S3'!I110,IF($C$2=31.5,'S3'!J110,IF($C$2=32.5,'S3'!K110,IF($C$2=33.5,'S3'!L110))))))))))))</f>
        <v>265.68</v>
      </c>
      <c r="D110" s="74">
        <f t="shared" si="8"/>
        <v>371.95</v>
      </c>
      <c r="E110" s="74">
        <f>IF($E$2=22.5,'S3'!Y110,IF($E$2=23.5,'S3'!Z110,IF($E$2=24.5,'S3'!AA110,IF($E$2=25.5,'S3'!AB110,IF($E$2=26.5,'S3'!AC110,IF($E$2=27.5,'S3'!AD110,IF($E$2=28.5,'S3'!AE110,IF($E$2=29.5,'S3'!AF110,IF($E$2=30.5,'S3'!AG110,IF($E$2=31.5,'S3'!AH110,IF($E$2=32.5,'S3'!AI110,IF($E$2=33.5,'S3'!AJ110))))))))))))</f>
        <v>165.49</v>
      </c>
      <c r="F110" s="74">
        <f t="shared" si="9"/>
        <v>231.69</v>
      </c>
    </row>
    <row r="111" spans="2:6">
      <c r="B111" s="148">
        <v>107</v>
      </c>
      <c r="C111" s="74">
        <f>IF($C$2=22.5,'S3'!A111,IF($C$2=23.5,'S3'!B111,IF($C$2=24.5,'S3'!C111,IF($C$2=25.5,'S3'!D111,IF($C$2=26.5,'S3'!E111,IF($C$2=27.5,'S3'!F111,IF($C$2=28.5,'S3'!G111,IF($C$2=29.5,'S3'!H111,IF($C$2=30.5,'S3'!I111,IF($C$2=31.5,'S3'!J111,IF($C$2=32.5,'S3'!K111,IF($C$2=33.5,'S3'!L111))))))))))))</f>
        <v>268.12</v>
      </c>
      <c r="D111" s="74">
        <f t="shared" si="8"/>
        <v>375.37</v>
      </c>
      <c r="E111" s="74">
        <f>IF($E$2=22.5,'S3'!Y111,IF($E$2=23.5,'S3'!Z111,IF($E$2=24.5,'S3'!AA111,IF($E$2=25.5,'S3'!AB111,IF($E$2=26.5,'S3'!AC111,IF($E$2=27.5,'S3'!AD111,IF($E$2=28.5,'S3'!AE111,IF($E$2=29.5,'S3'!AF111,IF($E$2=30.5,'S3'!AG111,IF($E$2=31.5,'S3'!AH111,IF($E$2=32.5,'S3'!AI111,IF($E$2=33.5,'S3'!AJ111))))))))))))</f>
        <v>167.04</v>
      </c>
      <c r="F111" s="74">
        <f t="shared" si="9"/>
        <v>233.86</v>
      </c>
    </row>
    <row r="112" spans="2:6">
      <c r="B112" s="148">
        <v>108</v>
      </c>
      <c r="C112" s="74">
        <f>IF($C$2=22.5,'S3'!A112,IF($C$2=23.5,'S3'!B112,IF($C$2=24.5,'S3'!C112,IF($C$2=25.5,'S3'!D112,IF($C$2=26.5,'S3'!E112,IF($C$2=27.5,'S3'!F112,IF($C$2=28.5,'S3'!G112,IF($C$2=29.5,'S3'!H112,IF($C$2=30.5,'S3'!I112,IF($C$2=31.5,'S3'!J112,IF($C$2=32.5,'S3'!K112,IF($C$2=33.5,'S3'!L112))))))))))))</f>
        <v>270.56</v>
      </c>
      <c r="D112" s="74">
        <f t="shared" si="8"/>
        <v>378.78</v>
      </c>
      <c r="E112" s="74">
        <f>IF($E$2=22.5,'S3'!Y112,IF($E$2=23.5,'S3'!Z112,IF($E$2=24.5,'S3'!AA112,IF($E$2=25.5,'S3'!AB112,IF($E$2=26.5,'S3'!AC112,IF($E$2=27.5,'S3'!AD112,IF($E$2=28.5,'S3'!AE112,IF($E$2=29.5,'S3'!AF112,IF($E$2=30.5,'S3'!AG112,IF($E$2=31.5,'S3'!AH112,IF($E$2=32.5,'S3'!AI112,IF($E$2=33.5,'S3'!AJ112))))))))))))</f>
        <v>168.58</v>
      </c>
      <c r="F112" s="74">
        <f t="shared" si="9"/>
        <v>236.01</v>
      </c>
    </row>
    <row r="113" spans="2:6">
      <c r="B113" s="148">
        <v>109</v>
      </c>
      <c r="C113" s="74">
        <f>IF($C$2=22.5,'S3'!A113,IF($C$2=23.5,'S3'!B113,IF($C$2=24.5,'S3'!C113,IF($C$2=25.5,'S3'!D113,IF($C$2=26.5,'S3'!E113,IF($C$2=27.5,'S3'!F113,IF($C$2=28.5,'S3'!G113,IF($C$2=29.5,'S3'!H113,IF($C$2=30.5,'S3'!I113,IF($C$2=31.5,'S3'!J113,IF($C$2=32.5,'S3'!K113,IF($C$2=33.5,'S3'!L113))))))))))))</f>
        <v>273.20999999999998</v>
      </c>
      <c r="D113" s="74">
        <f t="shared" si="8"/>
        <v>382.49</v>
      </c>
      <c r="E113" s="74">
        <f>IF($E$2=22.5,'S3'!Y113,IF($E$2=23.5,'S3'!Z113,IF($E$2=24.5,'S3'!AA113,IF($E$2=25.5,'S3'!AB113,IF($E$2=26.5,'S3'!AC113,IF($E$2=27.5,'S3'!AD113,IF($E$2=28.5,'S3'!AE113,IF($E$2=29.5,'S3'!AF113,IF($E$2=30.5,'S3'!AG113,IF($E$2=31.5,'S3'!AH113,IF($E$2=32.5,'S3'!AI113,IF($E$2=33.5,'S3'!AJ113))))))))))))</f>
        <v>170.13</v>
      </c>
      <c r="F113" s="74">
        <f t="shared" si="9"/>
        <v>238.18</v>
      </c>
    </row>
    <row r="114" spans="2:6">
      <c r="B114" s="148">
        <v>110</v>
      </c>
      <c r="C114" s="74">
        <f>IF($C$2=22.5,'S3'!A114,IF($C$2=23.5,'S3'!B114,IF($C$2=24.5,'S3'!C114,IF($C$2=25.5,'S3'!D114,IF($C$2=26.5,'S3'!E114,IF($C$2=27.5,'S3'!F114,IF($C$2=28.5,'S3'!G114,IF($C$2=29.5,'S3'!H114,IF($C$2=30.5,'S3'!I114,IF($C$2=31.5,'S3'!J114,IF($C$2=32.5,'S3'!K114,IF($C$2=33.5,'S3'!L114))))))))))))</f>
        <v>275.67</v>
      </c>
      <c r="D114" s="74">
        <f t="shared" si="8"/>
        <v>385.94</v>
      </c>
      <c r="E114" s="74">
        <f>IF($E$2=22.5,'S3'!Y114,IF($E$2=23.5,'S3'!Z114,IF($E$2=24.5,'S3'!AA114,IF($E$2=25.5,'S3'!AB114,IF($E$2=26.5,'S3'!AC114,IF($E$2=27.5,'S3'!AD114,IF($E$2=28.5,'S3'!AE114,IF($E$2=29.5,'S3'!AF114,IF($E$2=30.5,'S3'!AG114,IF($E$2=31.5,'S3'!AH114,IF($E$2=32.5,'S3'!AI114,IF($E$2=33.5,'S3'!AJ114))))))))))))</f>
        <v>171.68</v>
      </c>
      <c r="F114" s="74">
        <f t="shared" si="9"/>
        <v>240.35</v>
      </c>
    </row>
    <row r="115" spans="2:6">
      <c r="B115" s="148">
        <v>111</v>
      </c>
      <c r="C115" s="74">
        <f>IF($C$2=22.5,'S3'!A115,IF($C$2=23.5,'S3'!B115,IF($C$2=24.5,'S3'!C115,IF($C$2=25.5,'S3'!D115,IF($C$2=26.5,'S3'!E115,IF($C$2=27.5,'S3'!F115,IF($C$2=28.5,'S3'!G115,IF($C$2=29.5,'S3'!H115,IF($C$2=30.5,'S3'!I115,IF($C$2=31.5,'S3'!J115,IF($C$2=32.5,'S3'!K115,IF($C$2=33.5,'S3'!L115))))))))))))</f>
        <v>278.14</v>
      </c>
      <c r="D115" s="74">
        <f t="shared" si="8"/>
        <v>389.4</v>
      </c>
      <c r="E115" s="74">
        <f>IF($E$2=22.5,'S3'!Y115,IF($E$2=23.5,'S3'!Z115,IF($E$2=24.5,'S3'!AA115,IF($E$2=25.5,'S3'!AB115,IF($E$2=26.5,'S3'!AC115,IF($E$2=27.5,'S3'!AD115,IF($E$2=28.5,'S3'!AE115,IF($E$2=29.5,'S3'!AF115,IF($E$2=30.5,'S3'!AG115,IF($E$2=31.5,'S3'!AH115,IF($E$2=32.5,'S3'!AI115,IF($E$2=33.5,'S3'!AJ115))))))))))))</f>
        <v>173.24</v>
      </c>
      <c r="F115" s="74">
        <f t="shared" si="9"/>
        <v>242.54</v>
      </c>
    </row>
    <row r="116" spans="2:6">
      <c r="B116" s="148">
        <v>112</v>
      </c>
      <c r="C116" s="74">
        <f>IF($C$2=22.5,'S3'!A116,IF($C$2=23.5,'S3'!B116,IF($C$2=24.5,'S3'!C116,IF($C$2=25.5,'S3'!D116,IF($C$2=26.5,'S3'!E116,IF($C$2=27.5,'S3'!F116,IF($C$2=28.5,'S3'!G116,IF($C$2=29.5,'S3'!H116,IF($C$2=30.5,'S3'!I116,IF($C$2=31.5,'S3'!J116,IF($C$2=32.5,'S3'!K116,IF($C$2=33.5,'S3'!L116))))))))))))</f>
        <v>280.61</v>
      </c>
      <c r="D116" s="74">
        <f t="shared" si="8"/>
        <v>392.85</v>
      </c>
      <c r="E116" s="74">
        <f>IF($E$2=22.5,'S3'!Y116,IF($E$2=23.5,'S3'!Z116,IF($E$2=24.5,'S3'!AA116,IF($E$2=25.5,'S3'!AB116,IF($E$2=26.5,'S3'!AC116,IF($E$2=27.5,'S3'!AD116,IF($E$2=28.5,'S3'!AE116,IF($E$2=29.5,'S3'!AF116,IF($E$2=30.5,'S3'!AG116,IF($E$2=31.5,'S3'!AH116,IF($E$2=32.5,'S3'!AI116,IF($E$2=33.5,'S3'!AJ116))))))))))))</f>
        <v>174.79</v>
      </c>
      <c r="F116" s="74">
        <f t="shared" si="9"/>
        <v>244.71</v>
      </c>
    </row>
    <row r="117" spans="2:6">
      <c r="B117" s="148">
        <v>113</v>
      </c>
      <c r="C117" s="74">
        <f>IF($C$2=22.5,'S3'!A117,IF($C$2=23.5,'S3'!B117,IF($C$2=24.5,'S3'!C117,IF($C$2=25.5,'S3'!D117,IF($C$2=26.5,'S3'!E117,IF($C$2=27.5,'S3'!F117,IF($C$2=28.5,'S3'!G117,IF($C$2=29.5,'S3'!H117,IF($C$2=30.5,'S3'!I117,IF($C$2=31.5,'S3'!J117,IF($C$2=32.5,'S3'!K117,IF($C$2=33.5,'S3'!L117))))))))))))</f>
        <v>283.08999999999997</v>
      </c>
      <c r="D117" s="74">
        <f t="shared" si="8"/>
        <v>396.33</v>
      </c>
      <c r="E117" s="74">
        <f>IF($E$2=22.5,'S3'!Y117,IF($E$2=23.5,'S3'!Z117,IF($E$2=24.5,'S3'!AA117,IF($E$2=25.5,'S3'!AB117,IF($E$2=26.5,'S3'!AC117,IF($E$2=27.5,'S3'!AD117,IF($E$2=28.5,'S3'!AE117,IF($E$2=29.5,'S3'!AF117,IF($E$2=30.5,'S3'!AG117,IF($E$2=31.5,'S3'!AH117,IF($E$2=32.5,'S3'!AI117,IF($E$2=33.5,'S3'!AJ117))))))))))))</f>
        <v>176.35</v>
      </c>
      <c r="F117" s="74">
        <f t="shared" si="9"/>
        <v>246.89</v>
      </c>
    </row>
    <row r="118" spans="2:6">
      <c r="B118" s="148">
        <v>114</v>
      </c>
      <c r="C118" s="74">
        <f>IF($C$2=22.5,'S3'!A118,IF($C$2=23.5,'S3'!B118,IF($C$2=24.5,'S3'!C118,IF($C$2=25.5,'S3'!D118,IF($C$2=26.5,'S3'!E118,IF($C$2=27.5,'S3'!F118,IF($C$2=28.5,'S3'!G118,IF($C$2=29.5,'S3'!H118,IF($C$2=30.5,'S3'!I118,IF($C$2=31.5,'S3'!J118,IF($C$2=32.5,'S3'!K118,IF($C$2=33.5,'S3'!L118))))))))))))</f>
        <v>285.58</v>
      </c>
      <c r="D118" s="74">
        <f t="shared" si="8"/>
        <v>399.81</v>
      </c>
      <c r="E118" s="74">
        <f>IF($E$2=22.5,'S3'!Y118,IF($E$2=23.5,'S3'!Z118,IF($E$2=24.5,'S3'!AA118,IF($E$2=25.5,'S3'!AB118,IF($E$2=26.5,'S3'!AC118,IF($E$2=27.5,'S3'!AD118,IF($E$2=28.5,'S3'!AE118,IF($E$2=29.5,'S3'!AF118,IF($E$2=30.5,'S3'!AG118,IF($E$2=31.5,'S3'!AH118,IF($E$2=32.5,'S3'!AI118,IF($E$2=33.5,'S3'!AJ118))))))))))))</f>
        <v>177.91</v>
      </c>
      <c r="F118" s="74">
        <f t="shared" si="9"/>
        <v>249.07</v>
      </c>
    </row>
    <row r="119" spans="2:6">
      <c r="B119" s="148">
        <v>115</v>
      </c>
      <c r="C119" s="74">
        <f>IF($C$2=22.5,'S3'!A119,IF($C$2=23.5,'S3'!B119,IF($C$2=24.5,'S3'!C119,IF($C$2=25.5,'S3'!D119,IF($C$2=26.5,'S3'!E119,IF($C$2=27.5,'S3'!F119,IF($C$2=28.5,'S3'!G119,IF($C$2=29.5,'S3'!H119,IF($C$2=30.5,'S3'!I119,IF($C$2=31.5,'S3'!J119,IF($C$2=32.5,'S3'!K119,IF($C$2=33.5,'S3'!L119))))))))))))</f>
        <v>288.08</v>
      </c>
      <c r="D119" s="74">
        <f t="shared" si="8"/>
        <v>403.31</v>
      </c>
      <c r="E119" s="74">
        <f>IF($E$2=22.5,'S3'!Y119,IF($E$2=23.5,'S3'!Z119,IF($E$2=24.5,'S3'!AA119,IF($E$2=25.5,'S3'!AB119,IF($E$2=26.5,'S3'!AC119,IF($E$2=27.5,'S3'!AD119,IF($E$2=28.5,'S3'!AE119,IF($E$2=29.5,'S3'!AF119,IF($E$2=30.5,'S3'!AG119,IF($E$2=31.5,'S3'!AH119,IF($E$2=32.5,'S3'!AI119,IF($E$2=33.5,'S3'!AJ119))))))))))))</f>
        <v>179.47</v>
      </c>
      <c r="F119" s="74">
        <f t="shared" si="9"/>
        <v>251.26</v>
      </c>
    </row>
    <row r="120" spans="2:6">
      <c r="B120" s="148">
        <v>116</v>
      </c>
      <c r="C120" s="74">
        <f>IF($C$2=22.5,'S3'!A120,IF($C$2=23.5,'S3'!B120,IF($C$2=24.5,'S3'!C120,IF($C$2=25.5,'S3'!D120,IF($C$2=26.5,'S3'!E120,IF($C$2=27.5,'S3'!F120,IF($C$2=28.5,'S3'!G120,IF($C$2=29.5,'S3'!H120,IF($C$2=30.5,'S3'!I120,IF($C$2=31.5,'S3'!J120,IF($C$2=32.5,'S3'!K120,IF($C$2=33.5,'S3'!L120))))))))))))</f>
        <v>290.58</v>
      </c>
      <c r="D120" s="74">
        <f t="shared" si="8"/>
        <v>406.81</v>
      </c>
      <c r="E120" s="74">
        <f>IF($E$2=22.5,'S3'!Y120,IF($E$2=23.5,'S3'!Z120,IF($E$2=24.5,'S3'!AA120,IF($E$2=25.5,'S3'!AB120,IF($E$2=26.5,'S3'!AC120,IF($E$2=27.5,'S3'!AD120,IF($E$2=28.5,'S3'!AE120,IF($E$2=29.5,'S3'!AF120,IF($E$2=30.5,'S3'!AG120,IF($E$2=31.5,'S3'!AH120,IF($E$2=32.5,'S3'!AI120,IF($E$2=33.5,'S3'!AJ120))))))))))))</f>
        <v>181.03</v>
      </c>
      <c r="F120" s="74">
        <f t="shared" si="9"/>
        <v>253.44</v>
      </c>
    </row>
    <row r="121" spans="2:6">
      <c r="B121" s="148">
        <v>117</v>
      </c>
      <c r="C121" s="74">
        <f>IF($C$2=22.5,'S3'!A121,IF($C$2=23.5,'S3'!B121,IF($C$2=24.5,'S3'!C121,IF($C$2=25.5,'S3'!D121,IF($C$2=26.5,'S3'!E121,IF($C$2=27.5,'S3'!F121,IF($C$2=28.5,'S3'!G121,IF($C$2=29.5,'S3'!H121,IF($C$2=30.5,'S3'!I121,IF($C$2=31.5,'S3'!J121,IF($C$2=32.5,'S3'!K121,IF($C$2=33.5,'S3'!L121))))))))))))</f>
        <v>293.08999999999997</v>
      </c>
      <c r="D121" s="74">
        <f t="shared" si="8"/>
        <v>410.33</v>
      </c>
      <c r="E121" s="74">
        <f>IF($E$2=22.5,'S3'!Y121,IF($E$2=23.5,'S3'!Z121,IF($E$2=24.5,'S3'!AA121,IF($E$2=25.5,'S3'!AB121,IF($E$2=26.5,'S3'!AC121,IF($E$2=27.5,'S3'!AD121,IF($E$2=28.5,'S3'!AE121,IF($E$2=29.5,'S3'!AF121,IF($E$2=30.5,'S3'!AG121,IF($E$2=31.5,'S3'!AH121,IF($E$2=32.5,'S3'!AI121,IF($E$2=33.5,'S3'!AJ121))))))))))))</f>
        <v>182.59</v>
      </c>
      <c r="F121" s="74">
        <f t="shared" si="9"/>
        <v>255.63</v>
      </c>
    </row>
    <row r="122" spans="2:6">
      <c r="B122" s="148">
        <v>118</v>
      </c>
      <c r="C122" s="74">
        <f>IF($C$2=22.5,'S3'!A122,IF($C$2=23.5,'S3'!B122,IF($C$2=24.5,'S3'!C122,IF($C$2=25.5,'S3'!D122,IF($C$2=26.5,'S3'!E122,IF($C$2=27.5,'S3'!F122,IF($C$2=28.5,'S3'!G122,IF($C$2=29.5,'S3'!H122,IF($C$2=30.5,'S3'!I122,IF($C$2=31.5,'S3'!J122,IF($C$2=32.5,'S3'!K122,IF($C$2=33.5,'S3'!L122))))))))))))</f>
        <v>295.61</v>
      </c>
      <c r="D122" s="74">
        <f t="shared" si="8"/>
        <v>413.85</v>
      </c>
      <c r="E122" s="74">
        <f>IF($E$2=22.5,'S3'!Y122,IF($E$2=23.5,'S3'!Z122,IF($E$2=24.5,'S3'!AA122,IF($E$2=25.5,'S3'!AB122,IF($E$2=26.5,'S3'!AC122,IF($E$2=27.5,'S3'!AD122,IF($E$2=28.5,'S3'!AE122,IF($E$2=29.5,'S3'!AF122,IF($E$2=30.5,'S3'!AG122,IF($E$2=31.5,'S3'!AH122,IF($E$2=32.5,'S3'!AI122,IF($E$2=33.5,'S3'!AJ122))))))))))))</f>
        <v>184.16</v>
      </c>
      <c r="F122" s="74">
        <f t="shared" si="9"/>
        <v>257.82</v>
      </c>
    </row>
    <row r="123" spans="2:6">
      <c r="B123" s="148">
        <v>119</v>
      </c>
      <c r="C123" s="74">
        <f>IF($C$2=22.5,'S3'!A123,IF($C$2=23.5,'S3'!B123,IF($C$2=24.5,'S3'!C123,IF($C$2=25.5,'S3'!D123,IF($C$2=26.5,'S3'!E123,IF($C$2=27.5,'S3'!F123,IF($C$2=28.5,'S3'!G123,IF($C$2=29.5,'S3'!H123,IF($C$2=30.5,'S3'!I123,IF($C$2=31.5,'S3'!J123,IF($C$2=32.5,'S3'!K123,IF($C$2=33.5,'S3'!L123))))))))))))</f>
        <v>298.13</v>
      </c>
      <c r="D123" s="74">
        <f t="shared" si="8"/>
        <v>417.38</v>
      </c>
      <c r="E123" s="74">
        <f>IF($E$2=22.5,'S3'!Y123,IF($E$2=23.5,'S3'!Z123,IF($E$2=24.5,'S3'!AA123,IF($E$2=25.5,'S3'!AB123,IF($E$2=26.5,'S3'!AC123,IF($E$2=27.5,'S3'!AD123,IF($E$2=28.5,'S3'!AE123,IF($E$2=29.5,'S3'!AF123,IF($E$2=30.5,'S3'!AG123,IF($E$2=31.5,'S3'!AH123,IF($E$2=32.5,'S3'!AI123,IF($E$2=33.5,'S3'!AJ123))))))))))))</f>
        <v>185.72</v>
      </c>
      <c r="F123" s="74">
        <f t="shared" si="9"/>
        <v>260.01</v>
      </c>
    </row>
    <row r="124" spans="2:6">
      <c r="B124" s="148">
        <v>120</v>
      </c>
      <c r="C124" s="74">
        <f>IF($C$2=22.5,'S3'!A124,IF($C$2=23.5,'S3'!B124,IF($C$2=24.5,'S3'!C124,IF($C$2=25.5,'S3'!D124,IF($C$2=26.5,'S3'!E124,IF($C$2=27.5,'S3'!F124,IF($C$2=28.5,'S3'!G124,IF($C$2=29.5,'S3'!H124,IF($C$2=30.5,'S3'!I124,IF($C$2=31.5,'S3'!J124,IF($C$2=32.5,'S3'!K124,IF($C$2=33.5,'S3'!L124))))))))))))</f>
        <v>300.64999999999998</v>
      </c>
      <c r="D124" s="74">
        <f t="shared" si="8"/>
        <v>420.91</v>
      </c>
      <c r="E124" s="74">
        <f>IF($E$2=22.5,'S3'!Y124,IF($E$2=23.5,'S3'!Z124,IF($E$2=24.5,'S3'!AA124,IF($E$2=25.5,'S3'!AB124,IF($E$2=26.5,'S3'!AC124,IF($E$2=27.5,'S3'!AD124,IF($E$2=28.5,'S3'!AE124,IF($E$2=29.5,'S3'!AF124,IF($E$2=30.5,'S3'!AG124,IF($E$2=31.5,'S3'!AH124,IF($E$2=32.5,'S3'!AI124,IF($E$2=33.5,'S3'!AJ124))))))))))))</f>
        <v>187.26</v>
      </c>
      <c r="F124" s="74">
        <f t="shared" si="9"/>
        <v>262.16000000000003</v>
      </c>
    </row>
    <row r="125" spans="2:6">
      <c r="B125" s="148">
        <v>121</v>
      </c>
      <c r="C125" s="74">
        <f>IF($C$2=22.5,'S3'!A125,IF($C$2=23.5,'S3'!B125,IF($C$2=24.5,'S3'!C125,IF($C$2=25.5,'S3'!D125,IF($C$2=26.5,'S3'!E125,IF($C$2=27.5,'S3'!F125,IF($C$2=28.5,'S3'!G125,IF($C$2=29.5,'S3'!H125,IF($C$2=30.5,'S3'!I125,IF($C$2=31.5,'S3'!J125,IF($C$2=32.5,'S3'!K125,IF($C$2=33.5,'S3'!L125))))))))))))</f>
        <v>302.97000000000003</v>
      </c>
      <c r="D125" s="74">
        <f t="shared" si="8"/>
        <v>424.16</v>
      </c>
      <c r="E125" s="74">
        <f>IF($E$2=22.5,'S3'!Y125,IF($E$2=23.5,'S3'!Z125,IF($E$2=24.5,'S3'!AA125,IF($E$2=25.5,'S3'!AB125,IF($E$2=26.5,'S3'!AC125,IF($E$2=27.5,'S3'!AD125,IF($E$2=28.5,'S3'!AE125,IF($E$2=29.5,'S3'!AF125,IF($E$2=30.5,'S3'!AG125,IF($E$2=31.5,'S3'!AH125,IF($E$2=32.5,'S3'!AI125,IF($E$2=33.5,'S3'!AJ125))))))))))))</f>
        <v>188.81</v>
      </c>
      <c r="F125" s="74">
        <f t="shared" si="9"/>
        <v>264.33</v>
      </c>
    </row>
    <row r="126" spans="2:6">
      <c r="B126" s="148">
        <v>122</v>
      </c>
      <c r="C126" s="74">
        <f>IF($C$2=22.5,'S3'!A126,IF($C$2=23.5,'S3'!B126,IF($C$2=24.5,'S3'!C126,IF($C$2=25.5,'S3'!D126,IF($C$2=26.5,'S3'!E126,IF($C$2=27.5,'S3'!F126,IF($C$2=28.5,'S3'!G126,IF($C$2=29.5,'S3'!H126,IF($C$2=30.5,'S3'!I126,IF($C$2=31.5,'S3'!J126,IF($C$2=32.5,'S3'!K126,IF($C$2=33.5,'S3'!L126))))))))))))</f>
        <v>305.52</v>
      </c>
      <c r="D126" s="74">
        <f t="shared" si="8"/>
        <v>427.73</v>
      </c>
      <c r="E126" s="74">
        <f>IF($E$2=22.5,'S3'!Y126,IF($E$2=23.5,'S3'!Z126,IF($E$2=24.5,'S3'!AA126,IF($E$2=25.5,'S3'!AB126,IF($E$2=26.5,'S3'!AC126,IF($E$2=27.5,'S3'!AD126,IF($E$2=28.5,'S3'!AE126,IF($E$2=29.5,'S3'!AF126,IF($E$2=30.5,'S3'!AG126,IF($E$2=31.5,'S3'!AH126,IF($E$2=32.5,'S3'!AI126,IF($E$2=33.5,'S3'!AJ126))))))))))))</f>
        <v>190.38</v>
      </c>
      <c r="F126" s="74">
        <f t="shared" si="9"/>
        <v>266.52999999999997</v>
      </c>
    </row>
    <row r="127" spans="2:6">
      <c r="B127" s="148">
        <v>123</v>
      </c>
      <c r="C127" s="74">
        <f>IF($C$2=22.5,'S3'!A127,IF($C$2=23.5,'S3'!B127,IF($C$2=24.5,'S3'!C127,IF($C$2=25.5,'S3'!D127,IF($C$2=26.5,'S3'!E127,IF($C$2=27.5,'S3'!F127,IF($C$2=28.5,'S3'!G127,IF($C$2=29.5,'S3'!H127,IF($C$2=30.5,'S3'!I127,IF($C$2=31.5,'S3'!J127,IF($C$2=32.5,'S3'!K127,IF($C$2=33.5,'S3'!L127))))))))))))</f>
        <v>308.08</v>
      </c>
      <c r="D127" s="74">
        <f t="shared" si="8"/>
        <v>431.31</v>
      </c>
      <c r="E127" s="74">
        <f>IF($E$2=22.5,'S3'!Y127,IF($E$2=23.5,'S3'!Z127,IF($E$2=24.5,'S3'!AA127,IF($E$2=25.5,'S3'!AB127,IF($E$2=26.5,'S3'!AC127,IF($E$2=27.5,'S3'!AD127,IF($E$2=28.5,'S3'!AE127,IF($E$2=29.5,'S3'!AF127,IF($E$2=30.5,'S3'!AG127,IF($E$2=31.5,'S3'!AH127,IF($E$2=32.5,'S3'!AI127,IF($E$2=33.5,'S3'!AJ127))))))))))))</f>
        <v>191.89</v>
      </c>
      <c r="F127" s="74">
        <f t="shared" si="9"/>
        <v>268.64999999999998</v>
      </c>
    </row>
    <row r="128" spans="2:6">
      <c r="B128" s="148">
        <v>124</v>
      </c>
      <c r="C128" s="74">
        <f>IF($C$2=22.5,'S3'!A128,IF($C$2=23.5,'S3'!B128,IF($C$2=24.5,'S3'!C128,IF($C$2=25.5,'S3'!D128,IF($C$2=26.5,'S3'!E128,IF($C$2=27.5,'S3'!F128,IF($C$2=28.5,'S3'!G128,IF($C$2=29.5,'S3'!H128,IF($C$2=30.5,'S3'!I128,IF($C$2=31.5,'S3'!J128,IF($C$2=32.5,'S3'!K128,IF($C$2=33.5,'S3'!L128))))))))))))</f>
        <v>310.64999999999998</v>
      </c>
      <c r="D128" s="74">
        <f t="shared" si="8"/>
        <v>434.91</v>
      </c>
      <c r="E128" s="74">
        <f>IF($E$2=22.5,'S3'!Y128,IF($E$2=23.5,'S3'!Z128,IF($E$2=24.5,'S3'!AA128,IF($E$2=25.5,'S3'!AB128,IF($E$2=26.5,'S3'!AC128,IF($E$2=27.5,'S3'!AD128,IF($E$2=28.5,'S3'!AE128,IF($E$2=29.5,'S3'!AF128,IF($E$2=30.5,'S3'!AG128,IF($E$2=31.5,'S3'!AH128,IF($E$2=32.5,'S3'!AI128,IF($E$2=33.5,'S3'!AJ128))))))))))))</f>
        <v>193.47</v>
      </c>
      <c r="F128" s="74">
        <f t="shared" si="9"/>
        <v>270.86</v>
      </c>
    </row>
    <row r="129" spans="2:6">
      <c r="B129" s="148">
        <v>125</v>
      </c>
      <c r="C129" s="74">
        <f>IF($C$2=22.5,'S3'!A129,IF($C$2=23.5,'S3'!B129,IF($C$2=24.5,'S3'!C129,IF($C$2=25.5,'S3'!D129,IF($C$2=26.5,'S3'!E129,IF($C$2=27.5,'S3'!F129,IF($C$2=28.5,'S3'!G129,IF($C$2=29.5,'S3'!H129,IF($C$2=30.5,'S3'!I129,IF($C$2=31.5,'S3'!J129,IF($C$2=32.5,'S3'!K129,IF($C$2=33.5,'S3'!L129))))))))))))</f>
        <v>312.95999999999998</v>
      </c>
      <c r="D129" s="74">
        <f t="shared" si="8"/>
        <v>438.14</v>
      </c>
      <c r="E129" s="74">
        <f>IF($E$2=22.5,'S3'!Y129,IF($E$2=23.5,'S3'!Z129,IF($E$2=24.5,'S3'!AA129,IF($E$2=25.5,'S3'!AB129,IF($E$2=26.5,'S3'!AC129,IF($E$2=27.5,'S3'!AD129,IF($E$2=28.5,'S3'!AE129,IF($E$2=29.5,'S3'!AF129,IF($E$2=30.5,'S3'!AG129,IF($E$2=31.5,'S3'!AH129,IF($E$2=32.5,'S3'!AI129,IF($E$2=33.5,'S3'!AJ129))))))))))))</f>
        <v>195.05</v>
      </c>
      <c r="F129" s="74">
        <f t="shared" si="9"/>
        <v>273.07</v>
      </c>
    </row>
    <row r="130" spans="2:6">
      <c r="B130" s="148">
        <v>126</v>
      </c>
      <c r="C130" s="74">
        <f>IF($C$2=22.5,'S3'!A130,IF($C$2=23.5,'S3'!B130,IF($C$2=24.5,'S3'!C130,IF($C$2=25.5,'S3'!D130,IF($C$2=26.5,'S3'!E130,IF($C$2=27.5,'S3'!F130,IF($C$2=28.5,'S3'!G130,IF($C$2=29.5,'S3'!H130,IF($C$2=30.5,'S3'!I130,IF($C$2=31.5,'S3'!J130,IF($C$2=32.5,'S3'!K130,IF($C$2=33.5,'S3'!L130))))))))))))</f>
        <v>315.54000000000002</v>
      </c>
      <c r="D130" s="74">
        <f t="shared" si="8"/>
        <v>441.76</v>
      </c>
      <c r="E130" s="74">
        <f>IF($E$2=22.5,'S3'!Y130,IF($E$2=23.5,'S3'!Z130,IF($E$2=24.5,'S3'!AA130,IF($E$2=25.5,'S3'!AB130,IF($E$2=26.5,'S3'!AC130,IF($E$2=27.5,'S3'!AD130,IF($E$2=28.5,'S3'!AE130,IF($E$2=29.5,'S3'!AF130,IF($E$2=30.5,'S3'!AG130,IF($E$2=31.5,'S3'!AH130,IF($E$2=32.5,'S3'!AI130,IF($E$2=33.5,'S3'!AJ130))))))))))))</f>
        <v>196.57</v>
      </c>
      <c r="F130" s="74">
        <f t="shared" si="9"/>
        <v>275.2</v>
      </c>
    </row>
    <row r="131" spans="2:6">
      <c r="B131" s="148">
        <v>127</v>
      </c>
      <c r="C131" s="74">
        <f>IF($C$2=22.5,'S3'!A131,IF($C$2=23.5,'S3'!B131,IF($C$2=24.5,'S3'!C131,IF($C$2=25.5,'S3'!D131,IF($C$2=26.5,'S3'!E131,IF($C$2=27.5,'S3'!F131,IF($C$2=28.5,'S3'!G131,IF($C$2=29.5,'S3'!H131,IF($C$2=30.5,'S3'!I131,IF($C$2=31.5,'S3'!J131,IF($C$2=32.5,'S3'!K131,IF($C$2=33.5,'S3'!L131))))))))))))</f>
        <v>318.13</v>
      </c>
      <c r="D131" s="74">
        <f t="shared" si="8"/>
        <v>445.38</v>
      </c>
      <c r="E131" s="74">
        <f>IF($E$2=22.5,'S3'!Y131,IF($E$2=23.5,'S3'!Z131,IF($E$2=24.5,'S3'!AA131,IF($E$2=25.5,'S3'!AB131,IF($E$2=26.5,'S3'!AC131,IF($E$2=27.5,'S3'!AD131,IF($E$2=28.5,'S3'!AE131,IF($E$2=29.5,'S3'!AF131,IF($E$2=30.5,'S3'!AG131,IF($E$2=31.5,'S3'!AH131,IF($E$2=32.5,'S3'!AI131,IF($E$2=33.5,'S3'!AJ131))))))))))))</f>
        <v>198.15</v>
      </c>
      <c r="F131" s="74">
        <f t="shared" si="9"/>
        <v>277.41000000000003</v>
      </c>
    </row>
    <row r="132" spans="2:6">
      <c r="B132" s="148">
        <v>128</v>
      </c>
      <c r="C132" s="74">
        <f>IF($C$2=22.5,'S3'!A132,IF($C$2=23.5,'S3'!B132,IF($C$2=24.5,'S3'!C132,IF($C$2=25.5,'S3'!D132,IF($C$2=26.5,'S3'!E132,IF($C$2=27.5,'S3'!F132,IF($C$2=28.5,'S3'!G132,IF($C$2=29.5,'S3'!H132,IF($C$2=30.5,'S3'!I132,IF($C$2=31.5,'S3'!J132,IF($C$2=32.5,'S3'!K132,IF($C$2=33.5,'S3'!L132))))))))))))</f>
        <v>320.45999999999998</v>
      </c>
      <c r="D132" s="74">
        <f t="shared" si="8"/>
        <v>448.64</v>
      </c>
      <c r="E132" s="74">
        <f>IF($E$2=22.5,'S3'!Y132,IF($E$2=23.5,'S3'!Z132,IF($E$2=24.5,'S3'!AA132,IF($E$2=25.5,'S3'!AB132,IF($E$2=26.5,'S3'!AC132,IF($E$2=27.5,'S3'!AD132,IF($E$2=28.5,'S3'!AE132,IF($E$2=29.5,'S3'!AF132,IF($E$2=30.5,'S3'!AG132,IF($E$2=31.5,'S3'!AH132,IF($E$2=32.5,'S3'!AI132,IF($E$2=33.5,'S3'!AJ132))))))))))))</f>
        <v>199.74</v>
      </c>
      <c r="F132" s="74">
        <f t="shared" si="9"/>
        <v>279.64</v>
      </c>
    </row>
    <row r="133" spans="2:6">
      <c r="B133" s="148">
        <v>129</v>
      </c>
      <c r="C133" s="74">
        <f>IF($C$2=22.5,'S3'!A133,IF($C$2=23.5,'S3'!B133,IF($C$2=24.5,'S3'!C133,IF($C$2=25.5,'S3'!D133,IF($C$2=26.5,'S3'!E133,IF($C$2=27.5,'S3'!F133,IF($C$2=28.5,'S3'!G133,IF($C$2=29.5,'S3'!H133,IF($C$2=30.5,'S3'!I133,IF($C$2=31.5,'S3'!J133,IF($C$2=32.5,'S3'!K133,IF($C$2=33.5,'S3'!L133))))))))))))</f>
        <v>323.69</v>
      </c>
      <c r="D133" s="74">
        <f t="shared" si="8"/>
        <v>453.17</v>
      </c>
      <c r="E133" s="74">
        <f>IF($E$2=22.5,'S3'!Y133,IF($E$2=23.5,'S3'!Z133,IF($E$2=24.5,'S3'!AA133,IF($E$2=25.5,'S3'!AB133,IF($E$2=26.5,'S3'!AC133,IF($E$2=27.5,'S3'!AD133,IF($E$2=28.5,'S3'!AE133,IF($E$2=29.5,'S3'!AF133,IF($E$2=30.5,'S3'!AG133,IF($E$2=31.5,'S3'!AH133,IF($E$2=32.5,'S3'!AI133,IF($E$2=33.5,'S3'!AJ133))))))))))))</f>
        <v>201.26</v>
      </c>
      <c r="F133" s="74">
        <f t="shared" si="9"/>
        <v>281.76</v>
      </c>
    </row>
    <row r="134" spans="2:6">
      <c r="B134" s="148">
        <v>130</v>
      </c>
      <c r="C134" s="74">
        <f>IF($C$2=22.5,'S3'!A134,IF($C$2=23.5,'S3'!B134,IF($C$2=24.5,'S3'!C134,IF($C$2=25.5,'S3'!D134,IF($C$2=26.5,'S3'!E134,IF($C$2=27.5,'S3'!F134,IF($C$2=28.5,'S3'!G134,IF($C$2=29.5,'S3'!H134,IF($C$2=30.5,'S3'!I134,IF($C$2=31.5,'S3'!J134,IF($C$2=32.5,'S3'!K134,IF($C$2=33.5,'S3'!L134))))))))))))</f>
        <v>325.69</v>
      </c>
      <c r="D134" s="74">
        <f t="shared" ref="D134:D197" si="10">ROUND(C134*1.4,2)</f>
        <v>455.97</v>
      </c>
      <c r="E134" s="74">
        <f>IF($E$2=22.5,'S3'!Y134,IF($E$2=23.5,'S3'!Z134,IF($E$2=24.5,'S3'!AA134,IF($E$2=25.5,'S3'!AB134,IF($E$2=26.5,'S3'!AC134,IF($E$2=27.5,'S3'!AD134,IF($E$2=28.5,'S3'!AE134,IF($E$2=29.5,'S3'!AF134,IF($E$2=30.5,'S3'!AG134,IF($E$2=31.5,'S3'!AH134,IF($E$2=32.5,'S3'!AI134,IF($E$2=33.5,'S3'!AJ134))))))))))))</f>
        <v>202.85</v>
      </c>
      <c r="F134" s="74">
        <f t="shared" ref="F134:F197" si="11">ROUND(E134*1.4,2)</f>
        <v>283.99</v>
      </c>
    </row>
    <row r="135" spans="2:6">
      <c r="B135" s="148">
        <v>131</v>
      </c>
      <c r="C135" s="74">
        <f>IF($C$2=22.5,'S3'!A135,IF($C$2=23.5,'S3'!B135,IF($C$2=24.5,'S3'!C135,IF($C$2=25.5,'S3'!D135,IF($C$2=26.5,'S3'!E135,IF($C$2=27.5,'S3'!F135,IF($C$2=28.5,'S3'!G135,IF($C$2=29.5,'S3'!H135,IF($C$2=30.5,'S3'!I135,IF($C$2=31.5,'S3'!J135,IF($C$2=32.5,'S3'!K135,IF($C$2=33.5,'S3'!L135))))))))))))</f>
        <v>328.03</v>
      </c>
      <c r="D135" s="74">
        <f t="shared" si="10"/>
        <v>459.24</v>
      </c>
      <c r="E135" s="74">
        <f>IF($E$2=22.5,'S3'!Y135,IF($E$2=23.5,'S3'!Z135,IF($E$2=24.5,'S3'!AA135,IF($E$2=25.5,'S3'!AB135,IF($E$2=26.5,'S3'!AC135,IF($E$2=27.5,'S3'!AD135,IF($E$2=28.5,'S3'!AE135,IF($E$2=29.5,'S3'!AF135,IF($E$2=30.5,'S3'!AG135,IF($E$2=31.5,'S3'!AH135,IF($E$2=32.5,'S3'!AI135,IF($E$2=33.5,'S3'!AJ135))))))))))))</f>
        <v>204.37</v>
      </c>
      <c r="F135" s="74">
        <f t="shared" si="11"/>
        <v>286.12</v>
      </c>
    </row>
    <row r="136" spans="2:6">
      <c r="B136" s="148">
        <v>132</v>
      </c>
      <c r="C136" s="74">
        <f>IF($C$2=22.5,'S3'!A136,IF($C$2=23.5,'S3'!B136,IF($C$2=24.5,'S3'!C136,IF($C$2=25.5,'S3'!D136,IF($C$2=26.5,'S3'!E136,IF($C$2=27.5,'S3'!F136,IF($C$2=28.5,'S3'!G136,IF($C$2=29.5,'S3'!H136,IF($C$2=30.5,'S3'!I136,IF($C$2=31.5,'S3'!J136,IF($C$2=32.5,'S3'!K136,IF($C$2=33.5,'S3'!L136))))))))))))</f>
        <v>330.66</v>
      </c>
      <c r="D136" s="74">
        <f t="shared" si="10"/>
        <v>462.92</v>
      </c>
      <c r="E136" s="74">
        <f>IF($E$2=22.5,'S3'!Y136,IF($E$2=23.5,'S3'!Z136,IF($E$2=24.5,'S3'!AA136,IF($E$2=25.5,'S3'!AB136,IF($E$2=26.5,'S3'!AC136,IF($E$2=27.5,'S3'!AD136,IF($E$2=28.5,'S3'!AE136,IF($E$2=29.5,'S3'!AF136,IF($E$2=30.5,'S3'!AG136,IF($E$2=31.5,'S3'!AH136,IF($E$2=32.5,'S3'!AI136,IF($E$2=33.5,'S3'!AJ136))))))))))))</f>
        <v>205.89</v>
      </c>
      <c r="F136" s="74">
        <f t="shared" si="11"/>
        <v>288.25</v>
      </c>
    </row>
    <row r="137" spans="2:6">
      <c r="B137" s="148">
        <v>133</v>
      </c>
      <c r="C137" s="74">
        <f>IF($C$2=22.5,'S3'!A137,IF($C$2=23.5,'S3'!B137,IF($C$2=24.5,'S3'!C137,IF($C$2=25.5,'S3'!D137,IF($C$2=26.5,'S3'!E137,IF($C$2=27.5,'S3'!F137,IF($C$2=28.5,'S3'!G137,IF($C$2=29.5,'S3'!H137,IF($C$2=30.5,'S3'!I137,IF($C$2=31.5,'S3'!J137,IF($C$2=32.5,'S3'!K137,IF($C$2=33.5,'S3'!L137))))))))))))</f>
        <v>333.01</v>
      </c>
      <c r="D137" s="74">
        <f t="shared" si="10"/>
        <v>466.21</v>
      </c>
      <c r="E137" s="74">
        <f>IF($E$2=22.5,'S3'!Y137,IF($E$2=23.5,'S3'!Z137,IF($E$2=24.5,'S3'!AA137,IF($E$2=25.5,'S3'!AB137,IF($E$2=26.5,'S3'!AC137,IF($E$2=27.5,'S3'!AD137,IF($E$2=28.5,'S3'!AE137,IF($E$2=29.5,'S3'!AF137,IF($E$2=30.5,'S3'!AG137,IF($E$2=31.5,'S3'!AH137,IF($E$2=32.5,'S3'!AI137,IF($E$2=33.5,'S3'!AJ137))))))))))))</f>
        <v>207.49</v>
      </c>
      <c r="F137" s="74">
        <f t="shared" si="11"/>
        <v>290.49</v>
      </c>
    </row>
    <row r="138" spans="2:6">
      <c r="B138" s="148">
        <v>134</v>
      </c>
      <c r="C138" s="74">
        <f>IF($C$2=22.5,'S3'!A138,IF($C$2=23.5,'S3'!B138,IF($C$2=24.5,'S3'!C138,IF($C$2=25.5,'S3'!D138,IF($C$2=26.5,'S3'!E138,IF($C$2=27.5,'S3'!F138,IF($C$2=28.5,'S3'!G138,IF($C$2=29.5,'S3'!H138,IF($C$2=30.5,'S3'!I138,IF($C$2=31.5,'S3'!J138,IF($C$2=32.5,'S3'!K138,IF($C$2=33.5,'S3'!L138))))))))))))</f>
        <v>335.66</v>
      </c>
      <c r="D138" s="74">
        <f t="shared" si="10"/>
        <v>469.92</v>
      </c>
      <c r="E138" s="74">
        <f>IF($E$2=22.5,'S3'!Y138,IF($E$2=23.5,'S3'!Z138,IF($E$2=24.5,'S3'!AA138,IF($E$2=25.5,'S3'!AB138,IF($E$2=26.5,'S3'!AC138,IF($E$2=27.5,'S3'!AD138,IF($E$2=28.5,'S3'!AE138,IF($E$2=29.5,'S3'!AF138,IF($E$2=30.5,'S3'!AG138,IF($E$2=31.5,'S3'!AH138,IF($E$2=32.5,'S3'!AI138,IF($E$2=33.5,'S3'!AJ138))))))))))))</f>
        <v>209.01</v>
      </c>
      <c r="F138" s="74">
        <f t="shared" si="11"/>
        <v>292.61</v>
      </c>
    </row>
    <row r="139" spans="2:6">
      <c r="B139" s="148">
        <v>135</v>
      </c>
      <c r="C139" s="74">
        <f>IF($C$2=22.5,'S3'!A139,IF($C$2=23.5,'S3'!B139,IF($C$2=24.5,'S3'!C139,IF($C$2=25.5,'S3'!D139,IF($C$2=26.5,'S3'!E139,IF($C$2=27.5,'S3'!F139,IF($C$2=28.5,'S3'!G139,IF($C$2=29.5,'S3'!H139,IF($C$2=30.5,'S3'!I139,IF($C$2=31.5,'S3'!J139,IF($C$2=32.5,'S3'!K139,IF($C$2=33.5,'S3'!L139))))))))))))</f>
        <v>338.02</v>
      </c>
      <c r="D139" s="74">
        <f t="shared" si="10"/>
        <v>473.23</v>
      </c>
      <c r="E139" s="74">
        <f>IF($E$2=22.5,'S3'!Y139,IF($E$2=23.5,'S3'!Z139,IF($E$2=24.5,'S3'!AA139,IF($E$2=25.5,'S3'!AB139,IF($E$2=26.5,'S3'!AC139,IF($E$2=27.5,'S3'!AD139,IF($E$2=28.5,'S3'!AE139,IF($E$2=29.5,'S3'!AF139,IF($E$2=30.5,'S3'!AG139,IF($E$2=31.5,'S3'!AH139,IF($E$2=32.5,'S3'!AI139,IF($E$2=33.5,'S3'!AJ139))))))))))))</f>
        <v>210.61</v>
      </c>
      <c r="F139" s="74">
        <f t="shared" si="11"/>
        <v>294.85000000000002</v>
      </c>
    </row>
    <row r="140" spans="2:6">
      <c r="B140" s="148">
        <v>136</v>
      </c>
      <c r="C140" s="74">
        <f>IF($C$2=22.5,'S3'!A140,IF($C$2=23.5,'S3'!B140,IF($C$2=24.5,'S3'!C140,IF($C$2=25.5,'S3'!D140,IF($C$2=26.5,'S3'!E140,IF($C$2=27.5,'S3'!F140,IF($C$2=28.5,'S3'!G140,IF($C$2=29.5,'S3'!H140,IF($C$2=30.5,'S3'!I140,IF($C$2=31.5,'S3'!J140,IF($C$2=32.5,'S3'!K140,IF($C$2=33.5,'S3'!L140))))))))))))</f>
        <v>340.38</v>
      </c>
      <c r="D140" s="74">
        <f t="shared" si="10"/>
        <v>476.53</v>
      </c>
      <c r="E140" s="74">
        <f>IF($E$2=22.5,'S3'!Y140,IF($E$2=23.5,'S3'!Z140,IF($E$2=24.5,'S3'!AA140,IF($E$2=25.5,'S3'!AB140,IF($E$2=26.5,'S3'!AC140,IF($E$2=27.5,'S3'!AD140,IF($E$2=28.5,'S3'!AE140,IF($E$2=29.5,'S3'!AF140,IF($E$2=30.5,'S3'!AG140,IF($E$2=31.5,'S3'!AH140,IF($E$2=32.5,'S3'!AI140,IF($E$2=33.5,'S3'!AJ140))))))))))))</f>
        <v>212.14</v>
      </c>
      <c r="F140" s="74">
        <f t="shared" si="11"/>
        <v>297</v>
      </c>
    </row>
    <row r="141" spans="2:6">
      <c r="B141" s="148">
        <v>137</v>
      </c>
      <c r="C141" s="74">
        <f>IF($C$2=22.5,'S3'!A141,IF($C$2=23.5,'S3'!B141,IF($C$2=24.5,'S3'!C141,IF($C$2=25.5,'S3'!D141,IF($C$2=26.5,'S3'!E141,IF($C$2=27.5,'S3'!F141,IF($C$2=28.5,'S3'!G141,IF($C$2=29.5,'S3'!H141,IF($C$2=30.5,'S3'!I141,IF($C$2=31.5,'S3'!J141,IF($C$2=32.5,'S3'!K141,IF($C$2=33.5,'S3'!L141))))))))))))</f>
        <v>343.06</v>
      </c>
      <c r="D141" s="74">
        <f t="shared" si="10"/>
        <v>480.28</v>
      </c>
      <c r="E141" s="74">
        <f>IF($E$2=22.5,'S3'!Y141,IF($E$2=23.5,'S3'!Z141,IF($E$2=24.5,'S3'!AA141,IF($E$2=25.5,'S3'!AB141,IF($E$2=26.5,'S3'!AC141,IF($E$2=27.5,'S3'!AD141,IF($E$2=28.5,'S3'!AE141,IF($E$2=29.5,'S3'!AF141,IF($E$2=30.5,'S3'!AG141,IF($E$2=31.5,'S3'!AH141,IF($E$2=32.5,'S3'!AI141,IF($E$2=33.5,'S3'!AJ141))))))))))))</f>
        <v>213.75</v>
      </c>
      <c r="F141" s="74">
        <f t="shared" si="11"/>
        <v>299.25</v>
      </c>
    </row>
    <row r="142" spans="2:6">
      <c r="B142" s="148">
        <v>138</v>
      </c>
      <c r="C142" s="74">
        <f>IF($C$2=22.5,'S3'!A142,IF($C$2=23.5,'S3'!B142,IF($C$2=24.5,'S3'!C142,IF($C$2=25.5,'S3'!D142,IF($C$2=26.5,'S3'!E142,IF($C$2=27.5,'S3'!F142,IF($C$2=28.5,'S3'!G142,IF($C$2=29.5,'S3'!H142,IF($C$2=30.5,'S3'!I142,IF($C$2=31.5,'S3'!J142,IF($C$2=32.5,'S3'!K142,IF($C$2=33.5,'S3'!L142))))))))))))</f>
        <v>345.43</v>
      </c>
      <c r="D142" s="74">
        <f t="shared" si="10"/>
        <v>483.6</v>
      </c>
      <c r="E142" s="74">
        <f>IF($E$2=22.5,'S3'!Y142,IF($E$2=23.5,'S3'!Z142,IF($E$2=24.5,'S3'!AA142,IF($E$2=25.5,'S3'!AB142,IF($E$2=26.5,'S3'!AC142,IF($E$2=27.5,'S3'!AD142,IF($E$2=28.5,'S3'!AE142,IF($E$2=29.5,'S3'!AF142,IF($E$2=30.5,'S3'!AG142,IF($E$2=31.5,'S3'!AH142,IF($E$2=32.5,'S3'!AI142,IF($E$2=33.5,'S3'!AJ142))))))))))))</f>
        <v>215.27</v>
      </c>
      <c r="F142" s="74">
        <f t="shared" si="11"/>
        <v>301.38</v>
      </c>
    </row>
    <row r="143" spans="2:6">
      <c r="B143" s="148">
        <v>139</v>
      </c>
      <c r="C143" s="74">
        <f>IF($C$2=22.5,'S3'!A143,IF($C$2=23.5,'S3'!B143,IF($C$2=24.5,'S3'!C143,IF($C$2=25.5,'S3'!D143,IF($C$2=26.5,'S3'!E143,IF($C$2=27.5,'S3'!F143,IF($C$2=28.5,'S3'!G143,IF($C$2=29.5,'S3'!H143,IF($C$2=30.5,'S3'!I143,IF($C$2=31.5,'S3'!J143,IF($C$2=32.5,'S3'!K143,IF($C$2=33.5,'S3'!L143))))))))))))</f>
        <v>348.12</v>
      </c>
      <c r="D143" s="74">
        <f t="shared" si="10"/>
        <v>487.37</v>
      </c>
      <c r="E143" s="74">
        <f>IF($E$2=22.5,'S3'!Y143,IF($E$2=23.5,'S3'!Z143,IF($E$2=24.5,'S3'!AA143,IF($E$2=25.5,'S3'!AB143,IF($E$2=26.5,'S3'!AC143,IF($E$2=27.5,'S3'!AD143,IF($E$2=28.5,'S3'!AE143,IF($E$2=29.5,'S3'!AF143,IF($E$2=30.5,'S3'!AG143,IF($E$2=31.5,'S3'!AH143,IF($E$2=32.5,'S3'!AI143,IF($E$2=33.5,'S3'!AJ143))))))))))))</f>
        <v>216.8</v>
      </c>
      <c r="F143" s="74">
        <f t="shared" si="11"/>
        <v>303.52</v>
      </c>
    </row>
    <row r="144" spans="2:6">
      <c r="B144" s="148">
        <v>140</v>
      </c>
      <c r="C144" s="74">
        <f>IF($C$2=22.5,'S3'!A144,IF($C$2=23.5,'S3'!B144,IF($C$2=24.5,'S3'!C144,IF($C$2=25.5,'S3'!D144,IF($C$2=26.5,'S3'!E144,IF($C$2=27.5,'S3'!F144,IF($C$2=28.5,'S3'!G144,IF($C$2=29.5,'S3'!H144,IF($C$2=30.5,'S3'!I144,IF($C$2=31.5,'S3'!J144,IF($C$2=32.5,'S3'!K144,IF($C$2=33.5,'S3'!L144))))))))))))</f>
        <v>350.5</v>
      </c>
      <c r="D144" s="74">
        <f t="shared" si="10"/>
        <v>490.7</v>
      </c>
      <c r="E144" s="74">
        <f>IF($E$2=22.5,'S3'!Y144,IF($E$2=23.5,'S3'!Z144,IF($E$2=24.5,'S3'!AA144,IF($E$2=25.5,'S3'!AB144,IF($E$2=26.5,'S3'!AC144,IF($E$2=27.5,'S3'!AD144,IF($E$2=28.5,'S3'!AE144,IF($E$2=29.5,'S3'!AF144,IF($E$2=30.5,'S3'!AG144,IF($E$2=31.5,'S3'!AH144,IF($E$2=32.5,'S3'!AI144,IF($E$2=33.5,'S3'!AJ144))))))))))))</f>
        <v>218.33</v>
      </c>
      <c r="F144" s="74">
        <f t="shared" si="11"/>
        <v>305.66000000000003</v>
      </c>
    </row>
    <row r="145" spans="2:6">
      <c r="B145" s="148">
        <v>141</v>
      </c>
      <c r="C145" s="74">
        <f>IF($C$2=22.5,'S3'!A145,IF($C$2=23.5,'S3'!B145,IF($C$2=24.5,'S3'!C145,IF($C$2=25.5,'S3'!D145,IF($C$2=26.5,'S3'!E145,IF($C$2=27.5,'S3'!F145,IF($C$2=28.5,'S3'!G145,IF($C$2=29.5,'S3'!H145,IF($C$2=30.5,'S3'!I145,IF($C$2=31.5,'S3'!J145,IF($C$2=32.5,'S3'!K145,IF($C$2=33.5,'S3'!L145))))))))))))</f>
        <v>352.89</v>
      </c>
      <c r="D145" s="74">
        <f t="shared" si="10"/>
        <v>494.05</v>
      </c>
      <c r="E145" s="74">
        <f>IF($E$2=22.5,'S3'!Y145,IF($E$2=23.5,'S3'!Z145,IF($E$2=24.5,'S3'!AA145,IF($E$2=25.5,'S3'!AB145,IF($E$2=26.5,'S3'!AC145,IF($E$2=27.5,'S3'!AD145,IF($E$2=28.5,'S3'!AE145,IF($E$2=29.5,'S3'!AF145,IF($E$2=30.5,'S3'!AG145,IF($E$2=31.5,'S3'!AH145,IF($E$2=32.5,'S3'!AI145,IF($E$2=33.5,'S3'!AJ145))))))))))))</f>
        <v>219.95</v>
      </c>
      <c r="F145" s="74">
        <f t="shared" si="11"/>
        <v>307.93</v>
      </c>
    </row>
    <row r="146" spans="2:6">
      <c r="B146" s="148">
        <v>142</v>
      </c>
      <c r="C146" s="74">
        <f>IF($C$2=22.5,'S3'!A146,IF($C$2=23.5,'S3'!B146,IF($C$2=24.5,'S3'!C146,IF($C$2=25.5,'S3'!D146,IF($C$2=26.5,'S3'!E146,IF($C$2=27.5,'S3'!F146,IF($C$2=28.5,'S3'!G146,IF($C$2=29.5,'S3'!H146,IF($C$2=30.5,'S3'!I146,IF($C$2=31.5,'S3'!J146,IF($C$2=32.5,'S3'!K146,IF($C$2=33.5,'S3'!L146))))))))))))</f>
        <v>355.61</v>
      </c>
      <c r="D146" s="74">
        <f t="shared" si="10"/>
        <v>497.85</v>
      </c>
      <c r="E146" s="74">
        <f>IF($E$2=22.5,'S3'!Y146,IF($E$2=23.5,'S3'!Z146,IF($E$2=24.5,'S3'!AA146,IF($E$2=25.5,'S3'!AB146,IF($E$2=26.5,'S3'!AC146,IF($E$2=27.5,'S3'!AD146,IF($E$2=28.5,'S3'!AE146,IF($E$2=29.5,'S3'!AF146,IF($E$2=30.5,'S3'!AG146,IF($E$2=31.5,'S3'!AH146,IF($E$2=32.5,'S3'!AI146,IF($E$2=33.5,'S3'!AJ146))))))))))))</f>
        <v>221.48</v>
      </c>
      <c r="F146" s="74">
        <f t="shared" si="11"/>
        <v>310.07</v>
      </c>
    </row>
    <row r="147" spans="2:6">
      <c r="B147" s="148">
        <v>143</v>
      </c>
      <c r="C147" s="74">
        <f>IF($C$2=22.5,'S3'!A147,IF($C$2=23.5,'S3'!B147,IF($C$2=24.5,'S3'!C147,IF($C$2=25.5,'S3'!D147,IF($C$2=26.5,'S3'!E147,IF($C$2=27.5,'S3'!F147,IF($C$2=28.5,'S3'!G147,IF($C$2=29.5,'S3'!H147,IF($C$2=30.5,'S3'!I147,IF($C$2=31.5,'S3'!J147,IF($C$2=32.5,'S3'!K147,IF($C$2=33.5,'S3'!L147))))))))))))</f>
        <v>358</v>
      </c>
      <c r="D147" s="74">
        <f t="shared" si="10"/>
        <v>501.2</v>
      </c>
      <c r="E147" s="74">
        <f>IF($E$2=22.5,'S3'!Y147,IF($E$2=23.5,'S3'!Z147,IF($E$2=24.5,'S3'!AA147,IF($E$2=25.5,'S3'!AB147,IF($E$2=26.5,'S3'!AC147,IF($E$2=27.5,'S3'!AD147,IF($E$2=28.5,'S3'!AE147,IF($E$2=29.5,'S3'!AF147,IF($E$2=30.5,'S3'!AG147,IF($E$2=31.5,'S3'!AH147,IF($E$2=32.5,'S3'!AI147,IF($E$2=33.5,'S3'!AJ147))))))))))))</f>
        <v>223.01</v>
      </c>
      <c r="F147" s="74">
        <f t="shared" si="11"/>
        <v>312.20999999999998</v>
      </c>
    </row>
    <row r="148" spans="2:6">
      <c r="B148" s="148">
        <v>144</v>
      </c>
      <c r="C148" s="74">
        <f>IF($C$2=22.5,'S3'!A148,IF($C$2=23.5,'S3'!B148,IF($C$2=24.5,'S3'!C148,IF($C$2=25.5,'S3'!D148,IF($C$2=26.5,'S3'!E148,IF($C$2=27.5,'S3'!F148,IF($C$2=28.5,'S3'!G148,IF($C$2=29.5,'S3'!H148,IF($C$2=30.5,'S3'!I148,IF($C$2=31.5,'S3'!J148,IF($C$2=32.5,'S3'!K148,IF($C$2=33.5,'S3'!L148))))))))))))</f>
        <v>360.4</v>
      </c>
      <c r="D148" s="74">
        <f t="shared" si="10"/>
        <v>504.56</v>
      </c>
      <c r="E148" s="74">
        <f>IF($E$2=22.5,'S3'!Y148,IF($E$2=23.5,'S3'!Z148,IF($E$2=24.5,'S3'!AA148,IF($E$2=25.5,'S3'!AB148,IF($E$2=26.5,'S3'!AC148,IF($E$2=27.5,'S3'!AD148,IF($E$2=28.5,'S3'!AE148,IF($E$2=29.5,'S3'!AF148,IF($E$2=30.5,'S3'!AG148,IF($E$2=31.5,'S3'!AH148,IF($E$2=32.5,'S3'!AI148,IF($E$2=33.5,'S3'!AJ148))))))))))))</f>
        <v>224.64</v>
      </c>
      <c r="F148" s="74">
        <f t="shared" si="11"/>
        <v>314.5</v>
      </c>
    </row>
    <row r="149" spans="2:6">
      <c r="B149" s="148">
        <v>145</v>
      </c>
      <c r="C149" s="74">
        <f>IF($C$2=22.5,'S3'!A149,IF($C$2=23.5,'S3'!B149,IF($C$2=24.5,'S3'!C149,IF($C$2=25.5,'S3'!D149,IF($C$2=26.5,'S3'!E149,IF($C$2=27.5,'S3'!F149,IF($C$2=28.5,'S3'!G149,IF($C$2=29.5,'S3'!H149,IF($C$2=30.5,'S3'!I149,IF($C$2=31.5,'S3'!J149,IF($C$2=32.5,'S3'!K149,IF($C$2=33.5,'S3'!L149))))))))))))</f>
        <v>363.15</v>
      </c>
      <c r="D149" s="74">
        <f t="shared" si="10"/>
        <v>508.41</v>
      </c>
      <c r="E149" s="74">
        <f>IF($E$2=22.5,'S3'!Y149,IF($E$2=23.5,'S3'!Z149,IF($E$2=24.5,'S3'!AA149,IF($E$2=25.5,'S3'!AB149,IF($E$2=26.5,'S3'!AC149,IF($E$2=27.5,'S3'!AD149,IF($E$2=28.5,'S3'!AE149,IF($E$2=29.5,'S3'!AF149,IF($E$2=30.5,'S3'!AG149,IF($E$2=31.5,'S3'!AH149,IF($E$2=32.5,'S3'!AI149,IF($E$2=33.5,'S3'!AJ149))))))))))))</f>
        <v>226.17</v>
      </c>
      <c r="F149" s="74">
        <f t="shared" si="11"/>
        <v>316.64</v>
      </c>
    </row>
    <row r="150" spans="2:6">
      <c r="B150" s="148">
        <v>146</v>
      </c>
      <c r="C150" s="74">
        <f>IF($C$2=22.5,'S3'!A150,IF($C$2=23.5,'S3'!B150,IF($C$2=24.5,'S3'!C150,IF($C$2=25.5,'S3'!D150,IF($C$2=26.5,'S3'!E150,IF($C$2=27.5,'S3'!F150,IF($C$2=28.5,'S3'!G150,IF($C$2=29.5,'S3'!H150,IF($C$2=30.5,'S3'!I150,IF($C$2=31.5,'S3'!J150,IF($C$2=32.5,'S3'!K150,IF($C$2=33.5,'S3'!L150))))))))))))</f>
        <v>365.56</v>
      </c>
      <c r="D150" s="74">
        <f t="shared" si="10"/>
        <v>511.78</v>
      </c>
      <c r="E150" s="74">
        <f>IF($E$2=22.5,'S3'!Y150,IF($E$2=23.5,'S3'!Z150,IF($E$2=24.5,'S3'!AA150,IF($E$2=25.5,'S3'!AB150,IF($E$2=26.5,'S3'!AC150,IF($E$2=27.5,'S3'!AD150,IF($E$2=28.5,'S3'!AE150,IF($E$2=29.5,'S3'!AF150,IF($E$2=30.5,'S3'!AG150,IF($E$2=31.5,'S3'!AH150,IF($E$2=32.5,'S3'!AI150,IF($E$2=33.5,'S3'!AJ150))))))))))))</f>
        <v>227.71</v>
      </c>
      <c r="F150" s="74">
        <f t="shared" si="11"/>
        <v>318.79000000000002</v>
      </c>
    </row>
    <row r="151" spans="2:6">
      <c r="B151" s="148">
        <v>147</v>
      </c>
      <c r="C151" s="74">
        <f>IF($C$2=22.5,'S3'!A151,IF($C$2=23.5,'S3'!B151,IF($C$2=24.5,'S3'!C151,IF($C$2=25.5,'S3'!D151,IF($C$2=26.5,'S3'!E151,IF($C$2=27.5,'S3'!F151,IF($C$2=28.5,'S3'!G151,IF($C$2=29.5,'S3'!H151,IF($C$2=30.5,'S3'!I151,IF($C$2=31.5,'S3'!J151,IF($C$2=32.5,'S3'!K151,IF($C$2=33.5,'S3'!L151))))))))))))</f>
        <v>367.98</v>
      </c>
      <c r="D151" s="74">
        <f t="shared" si="10"/>
        <v>515.16999999999996</v>
      </c>
      <c r="E151" s="74">
        <f>IF($E$2=22.5,'S3'!Y151,IF($E$2=23.5,'S3'!Z151,IF($E$2=24.5,'S3'!AA151,IF($E$2=25.5,'S3'!AB151,IF($E$2=26.5,'S3'!AC151,IF($E$2=27.5,'S3'!AD151,IF($E$2=28.5,'S3'!AE151,IF($E$2=29.5,'S3'!AF151,IF($E$2=30.5,'S3'!AG151,IF($E$2=31.5,'S3'!AH151,IF($E$2=32.5,'S3'!AI151,IF($E$2=33.5,'S3'!AJ151))))))))))))</f>
        <v>229.25</v>
      </c>
      <c r="F151" s="74">
        <f t="shared" si="11"/>
        <v>320.95</v>
      </c>
    </row>
    <row r="152" spans="2:6">
      <c r="B152" s="148">
        <v>148</v>
      </c>
      <c r="C152" s="74">
        <f>IF($C$2=22.5,'S3'!A152,IF($C$2=23.5,'S3'!B152,IF($C$2=24.5,'S3'!C152,IF($C$2=25.5,'S3'!D152,IF($C$2=26.5,'S3'!E152,IF($C$2=27.5,'S3'!F152,IF($C$2=28.5,'S3'!G152,IF($C$2=29.5,'S3'!H152,IF($C$2=30.5,'S3'!I152,IF($C$2=31.5,'S3'!J152,IF($C$2=32.5,'S3'!K152,IF($C$2=33.5,'S3'!L152))))))))))))</f>
        <v>370.39</v>
      </c>
      <c r="D152" s="74">
        <f t="shared" si="10"/>
        <v>518.54999999999995</v>
      </c>
      <c r="E152" s="74">
        <f>IF($E$2=22.5,'S3'!Y152,IF($E$2=23.5,'S3'!Z152,IF($E$2=24.5,'S3'!AA152,IF($E$2=25.5,'S3'!AB152,IF($E$2=26.5,'S3'!AC152,IF($E$2=27.5,'S3'!AD152,IF($E$2=28.5,'S3'!AE152,IF($E$2=29.5,'S3'!AF152,IF($E$2=30.5,'S3'!AG152,IF($E$2=31.5,'S3'!AH152,IF($E$2=32.5,'S3'!AI152,IF($E$2=33.5,'S3'!AJ152))))))))))))</f>
        <v>230.78</v>
      </c>
      <c r="F152" s="74">
        <f t="shared" si="11"/>
        <v>323.08999999999997</v>
      </c>
    </row>
    <row r="153" spans="2:6">
      <c r="B153" s="148">
        <v>149</v>
      </c>
      <c r="C153" s="74">
        <f>IF($C$2=22.5,'S3'!A153,IF($C$2=23.5,'S3'!B153,IF($C$2=24.5,'S3'!C153,IF($C$2=25.5,'S3'!D153,IF($C$2=26.5,'S3'!E153,IF($C$2=27.5,'S3'!F153,IF($C$2=28.5,'S3'!G153,IF($C$2=29.5,'S3'!H153,IF($C$2=30.5,'S3'!I153,IF($C$2=31.5,'S3'!J153,IF($C$2=32.5,'S3'!K153,IF($C$2=33.5,'S3'!L153))))))))))))</f>
        <v>372.81</v>
      </c>
      <c r="D153" s="74">
        <f t="shared" si="10"/>
        <v>521.92999999999995</v>
      </c>
      <c r="E153" s="74">
        <f>IF($E$2=22.5,'S3'!Y153,IF($E$2=23.5,'S3'!Z153,IF($E$2=24.5,'S3'!AA153,IF($E$2=25.5,'S3'!AB153,IF($E$2=26.5,'S3'!AC153,IF($E$2=27.5,'S3'!AD153,IF($E$2=28.5,'S3'!AE153,IF($E$2=29.5,'S3'!AF153,IF($E$2=30.5,'S3'!AG153,IF($E$2=31.5,'S3'!AH153,IF($E$2=32.5,'S3'!AI153,IF($E$2=33.5,'S3'!AJ153))))))))))))</f>
        <v>232.42</v>
      </c>
      <c r="F153" s="74">
        <f t="shared" si="11"/>
        <v>325.39</v>
      </c>
    </row>
    <row r="154" spans="2:6">
      <c r="B154" s="148">
        <v>150</v>
      </c>
      <c r="C154" s="74">
        <f>IF($C$2=22.5,'S3'!A154,IF($C$2=23.5,'S3'!B154,IF($C$2=24.5,'S3'!C154,IF($C$2=25.5,'S3'!D154,IF($C$2=26.5,'S3'!E154,IF($C$2=27.5,'S3'!F154,IF($C$2=28.5,'S3'!G154,IF($C$2=29.5,'S3'!H154,IF($C$2=30.5,'S3'!I154,IF($C$2=31.5,'S3'!J154,IF($C$2=32.5,'S3'!K154,IF($C$2=33.5,'S3'!L154))))))))))))</f>
        <v>375.61</v>
      </c>
      <c r="D154" s="74">
        <f t="shared" si="10"/>
        <v>525.85</v>
      </c>
      <c r="E154" s="74">
        <f>IF($E$2=22.5,'S3'!Y154,IF($E$2=23.5,'S3'!Z154,IF($E$2=24.5,'S3'!AA154,IF($E$2=25.5,'S3'!AB154,IF($E$2=26.5,'S3'!AC154,IF($E$2=27.5,'S3'!AD154,IF($E$2=28.5,'S3'!AE154,IF($E$2=29.5,'S3'!AF154,IF($E$2=30.5,'S3'!AG154,IF($E$2=31.5,'S3'!AH154,IF($E$2=32.5,'S3'!AI154,IF($E$2=33.5,'S3'!AJ154))))))))))))</f>
        <v>233.96</v>
      </c>
      <c r="F154" s="74">
        <f t="shared" si="11"/>
        <v>327.54000000000002</v>
      </c>
    </row>
    <row r="155" spans="2:6">
      <c r="B155" s="148">
        <v>151</v>
      </c>
      <c r="C155" s="74">
        <f>IF($C$2=22.5,'S3'!A155,IF($C$2=23.5,'S3'!B155,IF($C$2=24.5,'S3'!C155,IF($C$2=25.5,'S3'!D155,IF($C$2=26.5,'S3'!E155,IF($C$2=27.5,'S3'!F155,IF($C$2=28.5,'S3'!G155,IF($C$2=29.5,'S3'!H155,IF($C$2=30.5,'S3'!I155,IF($C$2=31.5,'S3'!J155,IF($C$2=32.5,'S3'!K155,IF($C$2=33.5,'S3'!L155))))))))))))</f>
        <v>378.05</v>
      </c>
      <c r="D155" s="74">
        <f t="shared" si="10"/>
        <v>529.27</v>
      </c>
      <c r="E155" s="74">
        <f>IF($E$2=22.5,'S3'!Y155,IF($E$2=23.5,'S3'!Z155,IF($E$2=24.5,'S3'!AA155,IF($E$2=25.5,'S3'!AB155,IF($E$2=26.5,'S3'!AC155,IF($E$2=27.5,'S3'!AD155,IF($E$2=28.5,'S3'!AE155,IF($E$2=29.5,'S3'!AF155,IF($E$2=30.5,'S3'!AG155,IF($E$2=31.5,'S3'!AH155,IF($E$2=32.5,'S3'!AI155,IF($E$2=33.5,'S3'!AJ155))))))))))))</f>
        <v>235.51</v>
      </c>
      <c r="F155" s="74">
        <f t="shared" si="11"/>
        <v>329.71</v>
      </c>
    </row>
    <row r="156" spans="2:6">
      <c r="B156" s="148">
        <v>152</v>
      </c>
      <c r="C156" s="74">
        <f>IF($C$2=22.5,'S3'!A156,IF($C$2=23.5,'S3'!B156,IF($C$2=24.5,'S3'!C156,IF($C$2=25.5,'S3'!D156,IF($C$2=26.5,'S3'!E156,IF($C$2=27.5,'S3'!F156,IF($C$2=28.5,'S3'!G156,IF($C$2=29.5,'S3'!H156,IF($C$2=30.5,'S3'!I156,IF($C$2=31.5,'S3'!J156,IF($C$2=32.5,'S3'!K156,IF($C$2=33.5,'S3'!L156))))))))))))</f>
        <v>380.48</v>
      </c>
      <c r="D156" s="74">
        <f t="shared" si="10"/>
        <v>532.66999999999996</v>
      </c>
      <c r="E156" s="74">
        <f>IF($E$2=22.5,'S3'!Y156,IF($E$2=23.5,'S3'!Z156,IF($E$2=24.5,'S3'!AA156,IF($E$2=25.5,'S3'!AB156,IF($E$2=26.5,'S3'!AC156,IF($E$2=27.5,'S3'!AD156,IF($E$2=28.5,'S3'!AE156,IF($E$2=29.5,'S3'!AF156,IF($E$2=30.5,'S3'!AG156,IF($E$2=31.5,'S3'!AH156,IF($E$2=32.5,'S3'!AI156,IF($E$2=33.5,'S3'!AJ156))))))))))))</f>
        <v>237.05</v>
      </c>
      <c r="F156" s="74">
        <f t="shared" si="11"/>
        <v>331.87</v>
      </c>
    </row>
    <row r="157" spans="2:6">
      <c r="B157" s="148">
        <v>153</v>
      </c>
      <c r="C157" s="74">
        <f>IF($C$2=22.5,'S3'!A157,IF($C$2=23.5,'S3'!B157,IF($C$2=24.5,'S3'!C157,IF($C$2=25.5,'S3'!D157,IF($C$2=26.5,'S3'!E157,IF($C$2=27.5,'S3'!F157,IF($C$2=28.5,'S3'!G157,IF($C$2=29.5,'S3'!H157,IF($C$2=30.5,'S3'!I157,IF($C$2=31.5,'S3'!J157,IF($C$2=32.5,'S3'!K157,IF($C$2=33.5,'S3'!L157))))))))))))</f>
        <v>382.93</v>
      </c>
      <c r="D157" s="74">
        <f t="shared" si="10"/>
        <v>536.1</v>
      </c>
      <c r="E157" s="74">
        <f>IF($E$2=22.5,'S3'!Y157,IF($E$2=23.5,'S3'!Z157,IF($E$2=24.5,'S3'!AA157,IF($E$2=25.5,'S3'!AB157,IF($E$2=26.5,'S3'!AC157,IF($E$2=27.5,'S3'!AD157,IF($E$2=28.5,'S3'!AE157,IF($E$2=29.5,'S3'!AF157,IF($E$2=30.5,'S3'!AG157,IF($E$2=31.5,'S3'!AH157,IF($E$2=32.5,'S3'!AI157,IF($E$2=33.5,'S3'!AJ157))))))))))))</f>
        <v>238.6</v>
      </c>
      <c r="F157" s="74">
        <f t="shared" si="11"/>
        <v>334.04</v>
      </c>
    </row>
    <row r="158" spans="2:6">
      <c r="B158" s="148">
        <v>154</v>
      </c>
      <c r="C158" s="74">
        <f>IF($C$2=22.5,'S3'!A158,IF($C$2=23.5,'S3'!B158,IF($C$2=24.5,'S3'!C158,IF($C$2=25.5,'S3'!D158,IF($C$2=26.5,'S3'!E158,IF($C$2=27.5,'S3'!F158,IF($C$2=28.5,'S3'!G158,IF($C$2=29.5,'S3'!H158,IF($C$2=30.5,'S3'!I158,IF($C$2=31.5,'S3'!J158,IF($C$2=32.5,'S3'!K158,IF($C$2=33.5,'S3'!L158))))))))))))</f>
        <v>385.37</v>
      </c>
      <c r="D158" s="74">
        <f t="shared" si="10"/>
        <v>539.52</v>
      </c>
      <c r="E158" s="74">
        <f>IF($E$2=22.5,'S3'!Y158,IF($E$2=23.5,'S3'!Z158,IF($E$2=24.5,'S3'!AA158,IF($E$2=25.5,'S3'!AB158,IF($E$2=26.5,'S3'!AC158,IF($E$2=27.5,'S3'!AD158,IF($E$2=28.5,'S3'!AE158,IF($E$2=29.5,'S3'!AF158,IF($E$2=30.5,'S3'!AG158,IF($E$2=31.5,'S3'!AH158,IF($E$2=32.5,'S3'!AI158,IF($E$2=33.5,'S3'!AJ158))))))))))))</f>
        <v>240.14</v>
      </c>
      <c r="F158" s="74">
        <f t="shared" si="11"/>
        <v>336.2</v>
      </c>
    </row>
    <row r="159" spans="2:6">
      <c r="B159" s="148">
        <v>155</v>
      </c>
      <c r="C159" s="74">
        <f>IF($C$2=22.5,'S3'!A159,IF($C$2=23.5,'S3'!B159,IF($C$2=24.5,'S3'!C159,IF($C$2=25.5,'S3'!D159,IF($C$2=26.5,'S3'!E159,IF($C$2=27.5,'S3'!F159,IF($C$2=28.5,'S3'!G159,IF($C$2=29.5,'S3'!H159,IF($C$2=30.5,'S3'!I159,IF($C$2=31.5,'S3'!J159,IF($C$2=32.5,'S3'!K159,IF($C$2=33.5,'S3'!L159))))))))))))</f>
        <v>387.82</v>
      </c>
      <c r="D159" s="74">
        <f t="shared" si="10"/>
        <v>542.95000000000005</v>
      </c>
      <c r="E159" s="74">
        <f>IF($E$2=22.5,'S3'!Y159,IF($E$2=23.5,'S3'!Z159,IF($E$2=24.5,'S3'!AA159,IF($E$2=25.5,'S3'!AB159,IF($E$2=26.5,'S3'!AC159,IF($E$2=27.5,'S3'!AD159,IF($E$2=28.5,'S3'!AE159,IF($E$2=29.5,'S3'!AF159,IF($E$2=30.5,'S3'!AG159,IF($E$2=31.5,'S3'!AH159,IF($E$2=32.5,'S3'!AI159,IF($E$2=33.5,'S3'!AJ159))))))))))))</f>
        <v>241.69</v>
      </c>
      <c r="F159" s="74">
        <f t="shared" si="11"/>
        <v>338.37</v>
      </c>
    </row>
    <row r="160" spans="2:6">
      <c r="B160" s="148">
        <v>156</v>
      </c>
      <c r="C160" s="74">
        <f>IF($C$2=22.5,'S3'!A160,IF($C$2=23.5,'S3'!B160,IF($C$2=24.5,'S3'!C160,IF($C$2=25.5,'S3'!D160,IF($C$2=26.5,'S3'!E160,IF($C$2=27.5,'S3'!F160,IF($C$2=28.5,'S3'!G160,IF($C$2=29.5,'S3'!H160,IF($C$2=30.5,'S3'!I160,IF($C$2=31.5,'S3'!J160,IF($C$2=32.5,'S3'!K160,IF($C$2=33.5,'S3'!L160))))))))))))</f>
        <v>390.28</v>
      </c>
      <c r="D160" s="74">
        <f t="shared" si="10"/>
        <v>546.39</v>
      </c>
      <c r="E160" s="74">
        <f>IF($E$2=22.5,'S3'!Y160,IF($E$2=23.5,'S3'!Z160,IF($E$2=24.5,'S3'!AA160,IF($E$2=25.5,'S3'!AB160,IF($E$2=26.5,'S3'!AC160,IF($E$2=27.5,'S3'!AD160,IF($E$2=28.5,'S3'!AE160,IF($E$2=29.5,'S3'!AF160,IF($E$2=30.5,'S3'!AG160,IF($E$2=31.5,'S3'!AH160,IF($E$2=32.5,'S3'!AI160,IF($E$2=33.5,'S3'!AJ160))))))))))))</f>
        <v>243.24</v>
      </c>
      <c r="F160" s="74">
        <f t="shared" si="11"/>
        <v>340.54</v>
      </c>
    </row>
    <row r="161" spans="2:6">
      <c r="B161" s="148">
        <v>157</v>
      </c>
      <c r="C161" s="74">
        <f>IF($C$2=22.5,'S3'!A161,IF($C$2=23.5,'S3'!B161,IF($C$2=24.5,'S3'!C161,IF($C$2=25.5,'S3'!D161,IF($C$2=26.5,'S3'!E161,IF($C$2=27.5,'S3'!F161,IF($C$2=28.5,'S3'!G161,IF($C$2=29.5,'S3'!H161,IF($C$2=30.5,'S3'!I161,IF($C$2=31.5,'S3'!J161,IF($C$2=32.5,'S3'!K161,IF($C$2=33.5,'S3'!L161))))))))))))</f>
        <v>392.74</v>
      </c>
      <c r="D161" s="74">
        <f t="shared" si="10"/>
        <v>549.84</v>
      </c>
      <c r="E161" s="74">
        <f>IF($E$2=22.5,'S3'!Y161,IF($E$2=23.5,'S3'!Z161,IF($E$2=24.5,'S3'!AA161,IF($E$2=25.5,'S3'!AB161,IF($E$2=26.5,'S3'!AC161,IF($E$2=27.5,'S3'!AD161,IF($E$2=28.5,'S3'!AE161,IF($E$2=29.5,'S3'!AF161,IF($E$2=30.5,'S3'!AG161,IF($E$2=31.5,'S3'!AH161,IF($E$2=32.5,'S3'!AI161,IF($E$2=33.5,'S3'!AJ161))))))))))))</f>
        <v>244.79</v>
      </c>
      <c r="F161" s="74">
        <f t="shared" si="11"/>
        <v>342.71</v>
      </c>
    </row>
    <row r="162" spans="2:6">
      <c r="B162" s="148">
        <v>158</v>
      </c>
      <c r="C162" s="74">
        <f>IF($C$2=22.5,'S3'!A162,IF($C$2=23.5,'S3'!B162,IF($C$2=24.5,'S3'!C162,IF($C$2=25.5,'S3'!D162,IF($C$2=26.5,'S3'!E162,IF($C$2=27.5,'S3'!F162,IF($C$2=28.5,'S3'!G162,IF($C$2=29.5,'S3'!H162,IF($C$2=30.5,'S3'!I162,IF($C$2=31.5,'S3'!J162,IF($C$2=32.5,'S3'!K162,IF($C$2=33.5,'S3'!L162))))))))))))</f>
        <v>395.62</v>
      </c>
      <c r="D162" s="74">
        <f t="shared" si="10"/>
        <v>553.87</v>
      </c>
      <c r="E162" s="74">
        <f>IF($E$2=22.5,'S3'!Y162,IF($E$2=23.5,'S3'!Z162,IF($E$2=24.5,'S3'!AA162,IF($E$2=25.5,'S3'!AB162,IF($E$2=26.5,'S3'!AC162,IF($E$2=27.5,'S3'!AD162,IF($E$2=28.5,'S3'!AE162,IF($E$2=29.5,'S3'!AF162,IF($E$2=30.5,'S3'!AG162,IF($E$2=31.5,'S3'!AH162,IF($E$2=32.5,'S3'!AI162,IF($E$2=33.5,'S3'!AJ162))))))))))))</f>
        <v>246.34</v>
      </c>
      <c r="F162" s="74">
        <f t="shared" si="11"/>
        <v>344.88</v>
      </c>
    </row>
    <row r="163" spans="2:6">
      <c r="B163" s="148">
        <v>159</v>
      </c>
      <c r="C163" s="74">
        <f>IF($C$2=22.5,'S3'!A163,IF($C$2=23.5,'S3'!B163,IF($C$2=24.5,'S3'!C163,IF($C$2=25.5,'S3'!D163,IF($C$2=26.5,'S3'!E163,IF($C$2=27.5,'S3'!F163,IF($C$2=28.5,'S3'!G163,IF($C$2=29.5,'S3'!H163,IF($C$2=30.5,'S3'!I163,IF($C$2=31.5,'S3'!J163,IF($C$2=32.5,'S3'!K163,IF($C$2=33.5,'S3'!L163))))))))))))</f>
        <v>398.09</v>
      </c>
      <c r="D163" s="74">
        <f t="shared" si="10"/>
        <v>557.33000000000004</v>
      </c>
      <c r="E163" s="74">
        <f>IF($E$2=22.5,'S3'!Y163,IF($E$2=23.5,'S3'!Z163,IF($E$2=24.5,'S3'!AA163,IF($E$2=25.5,'S3'!AB163,IF($E$2=26.5,'S3'!AC163,IF($E$2=27.5,'S3'!AD163,IF($E$2=28.5,'S3'!AE163,IF($E$2=29.5,'S3'!AF163,IF($E$2=30.5,'S3'!AG163,IF($E$2=31.5,'S3'!AH163,IF($E$2=32.5,'S3'!AI163,IF($E$2=33.5,'S3'!AJ163))))))))))))</f>
        <v>247.89</v>
      </c>
      <c r="F163" s="74">
        <f t="shared" si="11"/>
        <v>347.05</v>
      </c>
    </row>
    <row r="164" spans="2:6">
      <c r="B164" s="148">
        <v>160</v>
      </c>
      <c r="C164" s="74">
        <f>IF($C$2=22.5,'S3'!A164,IF($C$2=23.5,'S3'!B164,IF($C$2=24.5,'S3'!C164,IF($C$2=25.5,'S3'!D164,IF($C$2=26.5,'S3'!E164,IF($C$2=27.5,'S3'!F164,IF($C$2=28.5,'S3'!G164,IF($C$2=29.5,'S3'!H164,IF($C$2=30.5,'S3'!I164,IF($C$2=31.5,'S3'!J164,IF($C$2=32.5,'S3'!K164,IF($C$2=33.5,'S3'!L164))))))))))))</f>
        <v>400.57</v>
      </c>
      <c r="D164" s="74">
        <f t="shared" si="10"/>
        <v>560.79999999999995</v>
      </c>
      <c r="E164" s="74">
        <f>IF($E$2=22.5,'S3'!Y164,IF($E$2=23.5,'S3'!Z164,IF($E$2=24.5,'S3'!AA164,IF($E$2=25.5,'S3'!AB164,IF($E$2=26.5,'S3'!AC164,IF($E$2=27.5,'S3'!AD164,IF($E$2=28.5,'S3'!AE164,IF($E$2=29.5,'S3'!AF164,IF($E$2=30.5,'S3'!AG164,IF($E$2=31.5,'S3'!AH164,IF($E$2=32.5,'S3'!AI164,IF($E$2=33.5,'S3'!AJ164))))))))))))</f>
        <v>249.45</v>
      </c>
      <c r="F164" s="74">
        <f t="shared" si="11"/>
        <v>349.23</v>
      </c>
    </row>
    <row r="165" spans="2:6">
      <c r="B165" s="148">
        <v>161</v>
      </c>
      <c r="C165" s="74">
        <f>IF($C$2=22.5,'S3'!A165,IF($C$2=23.5,'S3'!B165,IF($C$2=24.5,'S3'!C165,IF($C$2=25.5,'S3'!D165,IF($C$2=26.5,'S3'!E165,IF($C$2=27.5,'S3'!F165,IF($C$2=28.5,'S3'!G165,IF($C$2=29.5,'S3'!H165,IF($C$2=30.5,'S3'!I165,IF($C$2=31.5,'S3'!J165,IF($C$2=32.5,'S3'!K165,IF($C$2=33.5,'S3'!L165))))))))))))</f>
        <v>403.06</v>
      </c>
      <c r="D165" s="74">
        <f t="shared" si="10"/>
        <v>564.28</v>
      </c>
      <c r="E165" s="74">
        <f>IF($E$2=22.5,'S3'!Y165,IF($E$2=23.5,'S3'!Z165,IF($E$2=24.5,'S3'!AA165,IF($E$2=25.5,'S3'!AB165,IF($E$2=26.5,'S3'!AC165,IF($E$2=27.5,'S3'!AD165,IF($E$2=28.5,'S3'!AE165,IF($E$2=29.5,'S3'!AF165,IF($E$2=30.5,'S3'!AG165,IF($E$2=31.5,'S3'!AH165,IF($E$2=32.5,'S3'!AI165,IF($E$2=33.5,'S3'!AJ165))))))))))))</f>
        <v>251</v>
      </c>
      <c r="F165" s="74">
        <f t="shared" si="11"/>
        <v>351.4</v>
      </c>
    </row>
    <row r="166" spans="2:6">
      <c r="B166" s="148">
        <v>162</v>
      </c>
      <c r="C166" s="74">
        <f>IF($C$2=22.5,'S3'!A166,IF($C$2=23.5,'S3'!B166,IF($C$2=24.5,'S3'!C166,IF($C$2=25.5,'S3'!D166,IF($C$2=26.5,'S3'!E166,IF($C$2=27.5,'S3'!F166,IF($C$2=28.5,'S3'!G166,IF($C$2=29.5,'S3'!H166,IF($C$2=30.5,'S3'!I166,IF($C$2=31.5,'S3'!J166,IF($C$2=32.5,'S3'!K166,IF($C$2=33.5,'S3'!L166))))))))))))</f>
        <v>405.55</v>
      </c>
      <c r="D166" s="74">
        <f t="shared" si="10"/>
        <v>567.77</v>
      </c>
      <c r="E166" s="74">
        <f>IF($E$2=22.5,'S3'!Y166,IF($E$2=23.5,'S3'!Z166,IF($E$2=24.5,'S3'!AA166,IF($E$2=25.5,'S3'!AB166,IF($E$2=26.5,'S3'!AC166,IF($E$2=27.5,'S3'!AD166,IF($E$2=28.5,'S3'!AE166,IF($E$2=29.5,'S3'!AF166,IF($E$2=30.5,'S3'!AG166,IF($E$2=31.5,'S3'!AH166,IF($E$2=32.5,'S3'!AI166,IF($E$2=33.5,'S3'!AJ166))))))))))))</f>
        <v>252.56</v>
      </c>
      <c r="F166" s="74">
        <f t="shared" si="11"/>
        <v>353.58</v>
      </c>
    </row>
    <row r="167" spans="2:6">
      <c r="B167" s="148">
        <v>163</v>
      </c>
      <c r="C167" s="74">
        <f>IF($C$2=22.5,'S3'!A167,IF($C$2=23.5,'S3'!B167,IF($C$2=24.5,'S3'!C167,IF($C$2=25.5,'S3'!D167,IF($C$2=26.5,'S3'!E167,IF($C$2=27.5,'S3'!F167,IF($C$2=28.5,'S3'!G167,IF($C$2=29.5,'S3'!H167,IF($C$2=30.5,'S3'!I167,IF($C$2=31.5,'S3'!J167,IF($C$2=32.5,'S3'!K167,IF($C$2=33.5,'S3'!L167))))))))))))</f>
        <v>408.04</v>
      </c>
      <c r="D167" s="74">
        <f t="shared" si="10"/>
        <v>571.26</v>
      </c>
      <c r="E167" s="74">
        <f>IF($E$2=22.5,'S3'!Y167,IF($E$2=23.5,'S3'!Z167,IF($E$2=24.5,'S3'!AA167,IF($E$2=25.5,'S3'!AB167,IF($E$2=26.5,'S3'!AC167,IF($E$2=27.5,'S3'!AD167,IF($E$2=28.5,'S3'!AE167,IF($E$2=29.5,'S3'!AF167,IF($E$2=30.5,'S3'!AG167,IF($E$2=31.5,'S3'!AH167,IF($E$2=32.5,'S3'!AI167,IF($E$2=33.5,'S3'!AJ167))))))))))))</f>
        <v>254.12</v>
      </c>
      <c r="F167" s="74">
        <f t="shared" si="11"/>
        <v>355.77</v>
      </c>
    </row>
    <row r="168" spans="2:6">
      <c r="B168" s="148">
        <v>164</v>
      </c>
      <c r="C168" s="74">
        <f>IF($C$2=22.5,'S3'!A168,IF($C$2=23.5,'S3'!B168,IF($C$2=24.5,'S3'!C168,IF($C$2=25.5,'S3'!D168,IF($C$2=26.5,'S3'!E168,IF($C$2=27.5,'S3'!F168,IF($C$2=28.5,'S3'!G168,IF($C$2=29.5,'S3'!H168,IF($C$2=30.5,'S3'!I168,IF($C$2=31.5,'S3'!J168,IF($C$2=32.5,'S3'!K168,IF($C$2=33.5,'S3'!L168))))))))))))</f>
        <v>410.54</v>
      </c>
      <c r="D168" s="74">
        <f t="shared" si="10"/>
        <v>574.76</v>
      </c>
      <c r="E168" s="74">
        <f>IF($E$2=22.5,'S3'!Y168,IF($E$2=23.5,'S3'!Z168,IF($E$2=24.5,'S3'!AA168,IF($E$2=25.5,'S3'!AB168,IF($E$2=26.5,'S3'!AC168,IF($E$2=27.5,'S3'!AD168,IF($E$2=28.5,'S3'!AE168,IF($E$2=29.5,'S3'!AF168,IF($E$2=30.5,'S3'!AG168,IF($E$2=31.5,'S3'!AH168,IF($E$2=32.5,'S3'!AI168,IF($E$2=33.5,'S3'!AJ168))))))))))))</f>
        <v>255.68</v>
      </c>
      <c r="F168" s="74">
        <f t="shared" si="11"/>
        <v>357.95</v>
      </c>
    </row>
    <row r="169" spans="2:6">
      <c r="B169" s="148">
        <v>165</v>
      </c>
      <c r="C169" s="74">
        <f>IF($C$2=22.5,'S3'!A169,IF($C$2=23.5,'S3'!B169,IF($C$2=24.5,'S3'!C169,IF($C$2=25.5,'S3'!D169,IF($C$2=26.5,'S3'!E169,IF($C$2=27.5,'S3'!F169,IF($C$2=28.5,'S3'!G169,IF($C$2=29.5,'S3'!H169,IF($C$2=30.5,'S3'!I169,IF($C$2=31.5,'S3'!J169,IF($C$2=32.5,'S3'!K169,IF($C$2=33.5,'S3'!L169))))))))))))</f>
        <v>413.05</v>
      </c>
      <c r="D169" s="74">
        <f t="shared" si="10"/>
        <v>578.27</v>
      </c>
      <c r="E169" s="74">
        <f>IF($E$2=22.5,'S3'!Y169,IF($E$2=23.5,'S3'!Z169,IF($E$2=24.5,'S3'!AA169,IF($E$2=25.5,'S3'!AB169,IF($E$2=26.5,'S3'!AC169,IF($E$2=27.5,'S3'!AD169,IF($E$2=28.5,'S3'!AE169,IF($E$2=29.5,'S3'!AF169,IF($E$2=30.5,'S3'!AG169,IF($E$2=31.5,'S3'!AH169,IF($E$2=32.5,'S3'!AI169,IF($E$2=33.5,'S3'!AJ169))))))))))))</f>
        <v>257.24</v>
      </c>
      <c r="F169" s="74">
        <f t="shared" si="11"/>
        <v>360.14</v>
      </c>
    </row>
    <row r="170" spans="2:6">
      <c r="B170" s="148">
        <v>166</v>
      </c>
      <c r="C170" s="74">
        <f>IF($C$2=22.5,'S3'!A170,IF($C$2=23.5,'S3'!B170,IF($C$2=24.5,'S3'!C170,IF($C$2=25.5,'S3'!D170,IF($C$2=26.5,'S3'!E170,IF($C$2=27.5,'S3'!F170,IF($C$2=28.5,'S3'!G170,IF($C$2=29.5,'S3'!H170,IF($C$2=30.5,'S3'!I170,IF($C$2=31.5,'S3'!J170,IF($C$2=32.5,'S3'!K170,IF($C$2=33.5,'S3'!L170))))))))))))</f>
        <v>415.56</v>
      </c>
      <c r="D170" s="74">
        <f t="shared" si="10"/>
        <v>581.78</v>
      </c>
      <c r="E170" s="74">
        <f>IF($E$2=22.5,'S3'!Y170,IF($E$2=23.5,'S3'!Z170,IF($E$2=24.5,'S3'!AA170,IF($E$2=25.5,'S3'!AB170,IF($E$2=26.5,'S3'!AC170,IF($E$2=27.5,'S3'!AD170,IF($E$2=28.5,'S3'!AE170,IF($E$2=29.5,'S3'!AF170,IF($E$2=30.5,'S3'!AG170,IF($E$2=31.5,'S3'!AH170,IF($E$2=32.5,'S3'!AI170,IF($E$2=33.5,'S3'!AJ170))))))))))))</f>
        <v>258.8</v>
      </c>
      <c r="F170" s="74">
        <f t="shared" si="11"/>
        <v>362.32</v>
      </c>
    </row>
    <row r="171" spans="2:6">
      <c r="B171" s="148">
        <v>167</v>
      </c>
      <c r="C171" s="74">
        <f>IF($C$2=22.5,'S3'!A171,IF($C$2=23.5,'S3'!B171,IF($C$2=24.5,'S3'!C171,IF($C$2=25.5,'S3'!D171,IF($C$2=26.5,'S3'!E171,IF($C$2=27.5,'S3'!F171,IF($C$2=28.5,'S3'!G171,IF($C$2=29.5,'S3'!H171,IF($C$2=30.5,'S3'!I171,IF($C$2=31.5,'S3'!J171,IF($C$2=32.5,'S3'!K171,IF($C$2=33.5,'S3'!L171))))))))))))</f>
        <v>418.08</v>
      </c>
      <c r="D171" s="74">
        <f t="shared" si="10"/>
        <v>585.30999999999995</v>
      </c>
      <c r="E171" s="74">
        <f>IF($E$2=22.5,'S3'!Y171,IF($E$2=23.5,'S3'!Z171,IF($E$2=24.5,'S3'!AA171,IF($E$2=25.5,'S3'!AB171,IF($E$2=26.5,'S3'!AC171,IF($E$2=27.5,'S3'!AD171,IF($E$2=28.5,'S3'!AE171,IF($E$2=29.5,'S3'!AF171,IF($E$2=30.5,'S3'!AG171,IF($E$2=31.5,'S3'!AH171,IF($E$2=32.5,'S3'!AI171,IF($E$2=33.5,'S3'!AJ171))))))))))))</f>
        <v>260.37</v>
      </c>
      <c r="F171" s="74">
        <f t="shared" si="11"/>
        <v>364.52</v>
      </c>
    </row>
    <row r="172" spans="2:6">
      <c r="B172" s="148">
        <v>168</v>
      </c>
      <c r="C172" s="74">
        <f>IF($C$2=22.5,'S3'!A172,IF($C$2=23.5,'S3'!B172,IF($C$2=24.5,'S3'!C172,IF($C$2=25.5,'S3'!D172,IF($C$2=26.5,'S3'!E172,IF($C$2=27.5,'S3'!F172,IF($C$2=28.5,'S3'!G172,IF($C$2=29.5,'S3'!H172,IF($C$2=30.5,'S3'!I172,IF($C$2=31.5,'S3'!J172,IF($C$2=32.5,'S3'!K172,IF($C$2=33.5,'S3'!L172))))))))))))</f>
        <v>420.6</v>
      </c>
      <c r="D172" s="74">
        <f t="shared" si="10"/>
        <v>588.84</v>
      </c>
      <c r="E172" s="74">
        <f>IF($E$2=22.5,'S3'!Y172,IF($E$2=23.5,'S3'!Z172,IF($E$2=24.5,'S3'!AA172,IF($E$2=25.5,'S3'!AB172,IF($E$2=26.5,'S3'!AC172,IF($E$2=27.5,'S3'!AD172,IF($E$2=28.5,'S3'!AE172,IF($E$2=29.5,'S3'!AF172,IF($E$2=30.5,'S3'!AG172,IF($E$2=31.5,'S3'!AH172,IF($E$2=32.5,'S3'!AI172,IF($E$2=33.5,'S3'!AJ172))))))))))))</f>
        <v>261.93</v>
      </c>
      <c r="F172" s="74">
        <f t="shared" si="11"/>
        <v>366.7</v>
      </c>
    </row>
    <row r="173" spans="2:6">
      <c r="B173" s="148">
        <v>169</v>
      </c>
      <c r="C173" s="74">
        <f>IF($C$2=22.5,'S3'!A173,IF($C$2=23.5,'S3'!B173,IF($C$2=24.5,'S3'!C173,IF($C$2=25.5,'S3'!D173,IF($C$2=26.5,'S3'!E173,IF($C$2=27.5,'S3'!F173,IF($C$2=28.5,'S3'!G173,IF($C$2=29.5,'S3'!H173,IF($C$2=30.5,'S3'!I173,IF($C$2=31.5,'S3'!J173,IF($C$2=32.5,'S3'!K173,IF($C$2=33.5,'S3'!L173))))))))))))</f>
        <v>422.66</v>
      </c>
      <c r="D173" s="74">
        <f t="shared" si="10"/>
        <v>591.72</v>
      </c>
      <c r="E173" s="74">
        <f>IF($E$2=22.5,'S3'!Y173,IF($E$2=23.5,'S3'!Z173,IF($E$2=24.5,'S3'!AA173,IF($E$2=25.5,'S3'!AB173,IF($E$2=26.5,'S3'!AC173,IF($E$2=27.5,'S3'!AD173,IF($E$2=28.5,'S3'!AE173,IF($E$2=29.5,'S3'!AF173,IF($E$2=30.5,'S3'!AG173,IF($E$2=31.5,'S3'!AH173,IF($E$2=32.5,'S3'!AI173,IF($E$2=33.5,'S3'!AJ173))))))))))))</f>
        <v>263.5</v>
      </c>
      <c r="F173" s="74">
        <f t="shared" si="11"/>
        <v>368.9</v>
      </c>
    </row>
    <row r="174" spans="2:6">
      <c r="B174" s="148">
        <v>170</v>
      </c>
      <c r="C174" s="74">
        <f>IF($C$2=22.5,'S3'!A174,IF($C$2=23.5,'S3'!B174,IF($C$2=24.5,'S3'!C174,IF($C$2=25.5,'S3'!D174,IF($C$2=26.5,'S3'!E174,IF($C$2=27.5,'S3'!F174,IF($C$2=28.5,'S3'!G174,IF($C$2=29.5,'S3'!H174,IF($C$2=30.5,'S3'!I174,IF($C$2=31.5,'S3'!J174,IF($C$2=32.5,'S3'!K174,IF($C$2=33.5,'S3'!L174))))))))))))</f>
        <v>425.19</v>
      </c>
      <c r="D174" s="74">
        <f t="shared" si="10"/>
        <v>595.27</v>
      </c>
      <c r="E174" s="74">
        <f>IF($E$2=22.5,'S3'!Y174,IF($E$2=23.5,'S3'!Z174,IF($E$2=24.5,'S3'!AA174,IF($E$2=25.5,'S3'!AB174,IF($E$2=26.5,'S3'!AC174,IF($E$2=27.5,'S3'!AD174,IF($E$2=28.5,'S3'!AE174,IF($E$2=29.5,'S3'!AF174,IF($E$2=30.5,'S3'!AG174,IF($E$2=31.5,'S3'!AH174,IF($E$2=32.5,'S3'!AI174,IF($E$2=33.5,'S3'!AJ174))))))))))))</f>
        <v>265.07</v>
      </c>
      <c r="F174" s="74">
        <f t="shared" si="11"/>
        <v>371.1</v>
      </c>
    </row>
    <row r="175" spans="2:6">
      <c r="B175" s="148">
        <v>171</v>
      </c>
      <c r="C175" s="74">
        <f>IF($C$2=22.5,'S3'!A175,IF($C$2=23.5,'S3'!B175,IF($C$2=24.5,'S3'!C175,IF($C$2=25.5,'S3'!D175,IF($C$2=26.5,'S3'!E175,IF($C$2=27.5,'S3'!F175,IF($C$2=28.5,'S3'!G175,IF($C$2=29.5,'S3'!H175,IF($C$2=30.5,'S3'!I175,IF($C$2=31.5,'S3'!J175,IF($C$2=32.5,'S3'!K175,IF($C$2=33.5,'S3'!L175))))))))))))</f>
        <v>427.72</v>
      </c>
      <c r="D175" s="74">
        <f t="shared" si="10"/>
        <v>598.80999999999995</v>
      </c>
      <c r="E175" s="74">
        <f>IF($E$2=22.5,'S3'!Y175,IF($E$2=23.5,'S3'!Z175,IF($E$2=24.5,'S3'!AA175,IF($E$2=25.5,'S3'!AB175,IF($E$2=26.5,'S3'!AC175,IF($E$2=27.5,'S3'!AD175,IF($E$2=28.5,'S3'!AE175,IF($E$2=29.5,'S3'!AF175,IF($E$2=30.5,'S3'!AG175,IF($E$2=31.5,'S3'!AH175,IF($E$2=32.5,'S3'!AI175,IF($E$2=33.5,'S3'!AJ175))))))))))))</f>
        <v>266.64</v>
      </c>
      <c r="F175" s="74">
        <f t="shared" si="11"/>
        <v>373.3</v>
      </c>
    </row>
    <row r="176" spans="2:6">
      <c r="B176" s="148">
        <v>172</v>
      </c>
      <c r="C176" s="74">
        <f>IF($C$2=22.5,'S3'!A176,IF($C$2=23.5,'S3'!B176,IF($C$2=24.5,'S3'!C176,IF($C$2=25.5,'S3'!D176,IF($C$2=26.5,'S3'!E176,IF($C$2=27.5,'S3'!F176,IF($C$2=28.5,'S3'!G176,IF($C$2=29.5,'S3'!H176,IF($C$2=30.5,'S3'!I176,IF($C$2=31.5,'S3'!J176,IF($C$2=32.5,'S3'!K176,IF($C$2=33.5,'S3'!L176))))))))))))</f>
        <v>430.26</v>
      </c>
      <c r="D176" s="74">
        <f t="shared" si="10"/>
        <v>602.36</v>
      </c>
      <c r="E176" s="74">
        <f>IF($E$2=22.5,'S3'!Y176,IF($E$2=23.5,'S3'!Z176,IF($E$2=24.5,'S3'!AA176,IF($E$2=25.5,'S3'!AB176,IF($E$2=26.5,'S3'!AC176,IF($E$2=27.5,'S3'!AD176,IF($E$2=28.5,'S3'!AE176,IF($E$2=29.5,'S3'!AF176,IF($E$2=30.5,'S3'!AG176,IF($E$2=31.5,'S3'!AH176,IF($E$2=32.5,'S3'!AI176,IF($E$2=33.5,'S3'!AJ176))))))))))))</f>
        <v>268.20999999999998</v>
      </c>
      <c r="F176" s="74">
        <f t="shared" si="11"/>
        <v>375.49</v>
      </c>
    </row>
    <row r="177" spans="2:6">
      <c r="B177" s="148">
        <v>173</v>
      </c>
      <c r="C177" s="74">
        <f>IF($C$2=22.5,'S3'!A177,IF($C$2=23.5,'S3'!B177,IF($C$2=24.5,'S3'!C177,IF($C$2=25.5,'S3'!D177,IF($C$2=26.5,'S3'!E177,IF($C$2=27.5,'S3'!F177,IF($C$2=28.5,'S3'!G177,IF($C$2=29.5,'S3'!H177,IF($C$2=30.5,'S3'!I177,IF($C$2=31.5,'S3'!J177,IF($C$2=32.5,'S3'!K177,IF($C$2=33.5,'S3'!L177))))))))))))</f>
        <v>432.81</v>
      </c>
      <c r="D177" s="74">
        <f t="shared" si="10"/>
        <v>605.92999999999995</v>
      </c>
      <c r="E177" s="74">
        <f>IF($E$2=22.5,'S3'!Y177,IF($E$2=23.5,'S3'!Z177,IF($E$2=24.5,'S3'!AA177,IF($E$2=25.5,'S3'!AB177,IF($E$2=26.5,'S3'!AC177,IF($E$2=27.5,'S3'!AD177,IF($E$2=28.5,'S3'!AE177,IF($E$2=29.5,'S3'!AF177,IF($E$2=30.5,'S3'!AG177,IF($E$2=31.5,'S3'!AH177,IF($E$2=32.5,'S3'!AI177,IF($E$2=33.5,'S3'!AJ177))))))))))))</f>
        <v>269.64999999999998</v>
      </c>
      <c r="F177" s="74">
        <f t="shared" si="11"/>
        <v>377.51</v>
      </c>
    </row>
    <row r="178" spans="2:6">
      <c r="B178" s="148">
        <v>174</v>
      </c>
      <c r="C178" s="74">
        <f>IF($C$2=22.5,'S3'!A178,IF($C$2=23.5,'S3'!B178,IF($C$2=24.5,'S3'!C178,IF($C$2=25.5,'S3'!D178,IF($C$2=26.5,'S3'!E178,IF($C$2=27.5,'S3'!F178,IF($C$2=28.5,'S3'!G178,IF($C$2=29.5,'S3'!H178,IF($C$2=30.5,'S3'!I178,IF($C$2=31.5,'S3'!J178,IF($C$2=32.5,'S3'!K178,IF($C$2=33.5,'S3'!L178))))))))))))</f>
        <v>435.36</v>
      </c>
      <c r="D178" s="74">
        <f t="shared" si="10"/>
        <v>609.5</v>
      </c>
      <c r="E178" s="74">
        <f>IF($E$2=22.5,'S3'!Y178,IF($E$2=23.5,'S3'!Z178,IF($E$2=24.5,'S3'!AA178,IF($E$2=25.5,'S3'!AB178,IF($E$2=26.5,'S3'!AC178,IF($E$2=27.5,'S3'!AD178,IF($E$2=28.5,'S3'!AE178,IF($E$2=29.5,'S3'!AF178,IF($E$2=30.5,'S3'!AG178,IF($E$2=31.5,'S3'!AH178,IF($E$2=32.5,'S3'!AI178,IF($E$2=33.5,'S3'!AJ178))))))))))))</f>
        <v>271.23</v>
      </c>
      <c r="F178" s="74">
        <f t="shared" si="11"/>
        <v>379.72</v>
      </c>
    </row>
    <row r="179" spans="2:6">
      <c r="B179" s="148">
        <v>175</v>
      </c>
      <c r="C179" s="74">
        <f>IF($C$2=22.5,'S3'!A179,IF($C$2=23.5,'S3'!B179,IF($C$2=24.5,'S3'!C179,IF($C$2=25.5,'S3'!D179,IF($C$2=26.5,'S3'!E179,IF($C$2=27.5,'S3'!F179,IF($C$2=28.5,'S3'!G179,IF($C$2=29.5,'S3'!H179,IF($C$2=30.5,'S3'!I179,IF($C$2=31.5,'S3'!J179,IF($C$2=32.5,'S3'!K179,IF($C$2=33.5,'S3'!L179))))))))))))</f>
        <v>437.92</v>
      </c>
      <c r="D179" s="74">
        <f t="shared" si="10"/>
        <v>613.09</v>
      </c>
      <c r="E179" s="74">
        <f>IF($E$2=22.5,'S3'!Y179,IF($E$2=23.5,'S3'!Z179,IF($E$2=24.5,'S3'!AA179,IF($E$2=25.5,'S3'!AB179,IF($E$2=26.5,'S3'!AC179,IF($E$2=27.5,'S3'!AD179,IF($E$2=28.5,'S3'!AE179,IF($E$2=29.5,'S3'!AF179,IF($E$2=30.5,'S3'!AG179,IF($E$2=31.5,'S3'!AH179,IF($E$2=32.5,'S3'!AI179,IF($E$2=33.5,'S3'!AJ179))))))))))))</f>
        <v>272.8</v>
      </c>
      <c r="F179" s="74">
        <f t="shared" si="11"/>
        <v>381.92</v>
      </c>
    </row>
    <row r="180" spans="2:6">
      <c r="B180" s="148">
        <v>176</v>
      </c>
      <c r="C180" s="74">
        <f>IF($C$2=22.5,'S3'!A180,IF($C$2=23.5,'S3'!B180,IF($C$2=24.5,'S3'!C180,IF($C$2=25.5,'S3'!D180,IF($C$2=26.5,'S3'!E180,IF($C$2=27.5,'S3'!F180,IF($C$2=28.5,'S3'!G180,IF($C$2=29.5,'S3'!H180,IF($C$2=30.5,'S3'!I180,IF($C$2=31.5,'S3'!J180,IF($C$2=32.5,'S3'!K180,IF($C$2=33.5,'S3'!L180))))))))))))</f>
        <v>440.49</v>
      </c>
      <c r="D180" s="74">
        <f t="shared" si="10"/>
        <v>616.69000000000005</v>
      </c>
      <c r="E180" s="74">
        <f>IF($E$2=22.5,'S3'!Y180,IF($E$2=23.5,'S3'!Z180,IF($E$2=24.5,'S3'!AA180,IF($E$2=25.5,'S3'!AB180,IF($E$2=26.5,'S3'!AC180,IF($E$2=27.5,'S3'!AD180,IF($E$2=28.5,'S3'!AE180,IF($E$2=29.5,'S3'!AF180,IF($E$2=30.5,'S3'!AG180,IF($E$2=31.5,'S3'!AH180,IF($E$2=32.5,'S3'!AI180,IF($E$2=33.5,'S3'!AJ180))))))))))))</f>
        <v>274.38</v>
      </c>
      <c r="F180" s="74">
        <f t="shared" si="11"/>
        <v>384.13</v>
      </c>
    </row>
    <row r="181" spans="2:6">
      <c r="B181" s="148">
        <v>177</v>
      </c>
      <c r="C181" s="74">
        <f>IF($C$2=22.5,'S3'!A181,IF($C$2=23.5,'S3'!B181,IF($C$2=24.5,'S3'!C181,IF($C$2=25.5,'S3'!D181,IF($C$2=26.5,'S3'!E181,IF($C$2=27.5,'S3'!F181,IF($C$2=28.5,'S3'!G181,IF($C$2=29.5,'S3'!H181,IF($C$2=30.5,'S3'!I181,IF($C$2=31.5,'S3'!J181,IF($C$2=32.5,'S3'!K181,IF($C$2=33.5,'S3'!L181))))))))))))</f>
        <v>443.06</v>
      </c>
      <c r="D181" s="74">
        <f t="shared" si="10"/>
        <v>620.28</v>
      </c>
      <c r="E181" s="74">
        <f>IF($E$2=22.5,'S3'!Y181,IF($E$2=23.5,'S3'!Z181,IF($E$2=24.5,'S3'!AA181,IF($E$2=25.5,'S3'!AB181,IF($E$2=26.5,'S3'!AC181,IF($E$2=27.5,'S3'!AD181,IF($E$2=28.5,'S3'!AE181,IF($E$2=29.5,'S3'!AF181,IF($E$2=30.5,'S3'!AG181,IF($E$2=31.5,'S3'!AH181,IF($E$2=32.5,'S3'!AI181,IF($E$2=33.5,'S3'!AJ181))))))))))))</f>
        <v>275.95999999999998</v>
      </c>
      <c r="F181" s="74">
        <f t="shared" si="11"/>
        <v>386.34</v>
      </c>
    </row>
    <row r="182" spans="2:6">
      <c r="B182" s="148">
        <v>178</v>
      </c>
      <c r="C182" s="74">
        <f>IF($C$2=22.5,'S3'!A182,IF($C$2=23.5,'S3'!B182,IF($C$2=24.5,'S3'!C182,IF($C$2=25.5,'S3'!D182,IF($C$2=26.5,'S3'!E182,IF($C$2=27.5,'S3'!F182,IF($C$2=28.5,'S3'!G182,IF($C$2=29.5,'S3'!H182,IF($C$2=30.5,'S3'!I182,IF($C$2=31.5,'S3'!J182,IF($C$2=32.5,'S3'!K182,IF($C$2=33.5,'S3'!L182))))))))))))</f>
        <v>445.12</v>
      </c>
      <c r="D182" s="74">
        <f t="shared" si="10"/>
        <v>623.16999999999996</v>
      </c>
      <c r="E182" s="74">
        <f>IF($E$2=22.5,'S3'!Y182,IF($E$2=23.5,'S3'!Z182,IF($E$2=24.5,'S3'!AA182,IF($E$2=25.5,'S3'!AB182,IF($E$2=26.5,'S3'!AC182,IF($E$2=27.5,'S3'!AD182,IF($E$2=28.5,'S3'!AE182,IF($E$2=29.5,'S3'!AF182,IF($E$2=30.5,'S3'!AG182,IF($E$2=31.5,'S3'!AH182,IF($E$2=32.5,'S3'!AI182,IF($E$2=33.5,'S3'!AJ182))))))))))))</f>
        <v>277.54000000000002</v>
      </c>
      <c r="F182" s="74">
        <f t="shared" si="11"/>
        <v>388.56</v>
      </c>
    </row>
    <row r="183" spans="2:6">
      <c r="B183" s="148">
        <v>179</v>
      </c>
      <c r="C183" s="74">
        <f>IF($C$2=22.5,'S3'!A183,IF($C$2=23.5,'S3'!B183,IF($C$2=24.5,'S3'!C183,IF($C$2=25.5,'S3'!D183,IF($C$2=26.5,'S3'!E183,IF($C$2=27.5,'S3'!F183,IF($C$2=28.5,'S3'!G183,IF($C$2=29.5,'S3'!H183,IF($C$2=30.5,'S3'!I183,IF($C$2=31.5,'S3'!J183,IF($C$2=32.5,'S3'!K183,IF($C$2=33.5,'S3'!L183))))))))))))</f>
        <v>447.7</v>
      </c>
      <c r="D183" s="74">
        <f t="shared" si="10"/>
        <v>626.78</v>
      </c>
      <c r="E183" s="74">
        <f>IF($E$2=22.5,'S3'!Y183,IF($E$2=23.5,'S3'!Z183,IF($E$2=24.5,'S3'!AA183,IF($E$2=25.5,'S3'!AB183,IF($E$2=26.5,'S3'!AC183,IF($E$2=27.5,'S3'!AD183,IF($E$2=28.5,'S3'!AE183,IF($E$2=29.5,'S3'!AF183,IF($E$2=30.5,'S3'!AG183,IF($E$2=31.5,'S3'!AH183,IF($E$2=32.5,'S3'!AI183,IF($E$2=33.5,'S3'!AJ183))))))))))))</f>
        <v>278.98</v>
      </c>
      <c r="F183" s="74">
        <f t="shared" si="11"/>
        <v>390.57</v>
      </c>
    </row>
    <row r="184" spans="2:6">
      <c r="B184" s="148">
        <v>180</v>
      </c>
      <c r="C184" s="74">
        <f>IF($C$2=22.5,'S3'!A184,IF($C$2=23.5,'S3'!B184,IF($C$2=24.5,'S3'!C184,IF($C$2=25.5,'S3'!D184,IF($C$2=26.5,'S3'!E184,IF($C$2=27.5,'S3'!F184,IF($C$2=28.5,'S3'!G184,IF($C$2=29.5,'S3'!H184,IF($C$2=30.5,'S3'!I184,IF($C$2=31.5,'S3'!J184,IF($C$2=32.5,'S3'!K184,IF($C$2=33.5,'S3'!L184))))))))))))</f>
        <v>450.29</v>
      </c>
      <c r="D184" s="74">
        <f t="shared" si="10"/>
        <v>630.41</v>
      </c>
      <c r="E184" s="74">
        <f>IF($E$2=22.5,'S3'!Y184,IF($E$2=23.5,'S3'!Z184,IF($E$2=24.5,'S3'!AA184,IF($E$2=25.5,'S3'!AB184,IF($E$2=26.5,'S3'!AC184,IF($E$2=27.5,'S3'!AD184,IF($E$2=28.5,'S3'!AE184,IF($E$2=29.5,'S3'!AF184,IF($E$2=30.5,'S3'!AG184,IF($E$2=31.5,'S3'!AH184,IF($E$2=32.5,'S3'!AI184,IF($E$2=33.5,'S3'!AJ184))))))))))))</f>
        <v>280.57</v>
      </c>
      <c r="F184" s="74">
        <f t="shared" si="11"/>
        <v>392.8</v>
      </c>
    </row>
    <row r="185" spans="2:6">
      <c r="B185" s="148">
        <v>181</v>
      </c>
      <c r="C185" s="74">
        <f>IF($C$2=22.5,'S3'!A185,IF($C$2=23.5,'S3'!B185,IF($C$2=24.5,'S3'!C185,IF($C$2=25.5,'S3'!D185,IF($C$2=26.5,'S3'!E185,IF($C$2=27.5,'S3'!F185,IF($C$2=28.5,'S3'!G185,IF($C$2=29.5,'S3'!H185,IF($C$2=30.5,'S3'!I185,IF($C$2=31.5,'S3'!J185,IF($C$2=32.5,'S3'!K185,IF($C$2=33.5,'S3'!L185))))))))))))</f>
        <v>452.88</v>
      </c>
      <c r="D185" s="74">
        <f t="shared" si="10"/>
        <v>634.03</v>
      </c>
      <c r="E185" s="74">
        <f>IF($E$2=22.5,'S3'!Y185,IF($E$2=23.5,'S3'!Z185,IF($E$2=24.5,'S3'!AA185,IF($E$2=25.5,'S3'!AB185,IF($E$2=26.5,'S3'!AC185,IF($E$2=27.5,'S3'!AD185,IF($E$2=28.5,'S3'!AE185,IF($E$2=29.5,'S3'!AF185,IF($E$2=30.5,'S3'!AG185,IF($E$2=31.5,'S3'!AH185,IF($E$2=32.5,'S3'!AI185,IF($E$2=33.5,'S3'!AJ185))))))))))))</f>
        <v>282.14999999999998</v>
      </c>
      <c r="F185" s="74">
        <f t="shared" si="11"/>
        <v>395.01</v>
      </c>
    </row>
    <row r="186" spans="2:6">
      <c r="B186" s="148">
        <v>182</v>
      </c>
      <c r="C186" s="74">
        <f>IF($C$2=22.5,'S3'!A186,IF($C$2=23.5,'S3'!B186,IF($C$2=24.5,'S3'!C186,IF($C$2=25.5,'S3'!D186,IF($C$2=26.5,'S3'!E186,IF($C$2=27.5,'S3'!F186,IF($C$2=28.5,'S3'!G186,IF($C$2=29.5,'S3'!H186,IF($C$2=30.5,'S3'!I186,IF($C$2=31.5,'S3'!J186,IF($C$2=32.5,'S3'!K186,IF($C$2=33.5,'S3'!L186))))))))))))</f>
        <v>455.48</v>
      </c>
      <c r="D186" s="74">
        <f t="shared" si="10"/>
        <v>637.66999999999996</v>
      </c>
      <c r="E186" s="74">
        <f>IF($E$2=22.5,'S3'!Y186,IF($E$2=23.5,'S3'!Z186,IF($E$2=24.5,'S3'!AA186,IF($E$2=25.5,'S3'!AB186,IF($E$2=26.5,'S3'!AC186,IF($E$2=27.5,'S3'!AD186,IF($E$2=28.5,'S3'!AE186,IF($E$2=29.5,'S3'!AF186,IF($E$2=30.5,'S3'!AG186,IF($E$2=31.5,'S3'!AH186,IF($E$2=32.5,'S3'!AI186,IF($E$2=33.5,'S3'!AJ186))))))))))))</f>
        <v>283.74</v>
      </c>
      <c r="F186" s="74">
        <f t="shared" si="11"/>
        <v>397.24</v>
      </c>
    </row>
    <row r="187" spans="2:6">
      <c r="B187" s="148">
        <v>183</v>
      </c>
      <c r="C187" s="74">
        <f>IF($C$2=22.5,'S3'!A187,IF($C$2=23.5,'S3'!B187,IF($C$2=24.5,'S3'!C187,IF($C$2=25.5,'S3'!D187,IF($C$2=26.5,'S3'!E187,IF($C$2=27.5,'S3'!F187,IF($C$2=28.5,'S3'!G187,IF($C$2=29.5,'S3'!H187,IF($C$2=30.5,'S3'!I187,IF($C$2=31.5,'S3'!J187,IF($C$2=32.5,'S3'!K187,IF($C$2=33.5,'S3'!L187))))))))))))</f>
        <v>458.09</v>
      </c>
      <c r="D187" s="74">
        <f t="shared" si="10"/>
        <v>641.33000000000004</v>
      </c>
      <c r="E187" s="74">
        <f>IF($E$2=22.5,'S3'!Y187,IF($E$2=23.5,'S3'!Z187,IF($E$2=24.5,'S3'!AA187,IF($E$2=25.5,'S3'!AB187,IF($E$2=26.5,'S3'!AC187,IF($E$2=27.5,'S3'!AD187,IF($E$2=28.5,'S3'!AE187,IF($E$2=29.5,'S3'!AF187,IF($E$2=30.5,'S3'!AG187,IF($E$2=31.5,'S3'!AH187,IF($E$2=32.5,'S3'!AI187,IF($E$2=33.5,'S3'!AJ187))))))))))))</f>
        <v>285.33</v>
      </c>
      <c r="F187" s="74">
        <f t="shared" si="11"/>
        <v>399.46</v>
      </c>
    </row>
    <row r="188" spans="2:6">
      <c r="B188" s="148">
        <v>184</v>
      </c>
      <c r="C188" s="74">
        <f>IF($C$2=22.5,'S3'!A188,IF($C$2=23.5,'S3'!B188,IF($C$2=24.5,'S3'!C188,IF($C$2=25.5,'S3'!D188,IF($C$2=26.5,'S3'!E188,IF($C$2=27.5,'S3'!F188,IF($C$2=28.5,'S3'!G188,IF($C$2=29.5,'S3'!H188,IF($C$2=30.5,'S3'!I188,IF($C$2=31.5,'S3'!J188,IF($C$2=32.5,'S3'!K188,IF($C$2=33.5,'S3'!L188))))))))))))</f>
        <v>460.15</v>
      </c>
      <c r="D188" s="74">
        <f t="shared" si="10"/>
        <v>644.21</v>
      </c>
      <c r="E188" s="74">
        <f>IF($E$2=22.5,'S3'!Y188,IF($E$2=23.5,'S3'!Z188,IF($E$2=24.5,'S3'!AA188,IF($E$2=25.5,'S3'!AB188,IF($E$2=26.5,'S3'!AC188,IF($E$2=27.5,'S3'!AD188,IF($E$2=28.5,'S3'!AE188,IF($E$2=29.5,'S3'!AF188,IF($E$2=30.5,'S3'!AG188,IF($E$2=31.5,'S3'!AH188,IF($E$2=32.5,'S3'!AI188,IF($E$2=33.5,'S3'!AJ188))))))))))))</f>
        <v>286.77</v>
      </c>
      <c r="F188" s="74">
        <f t="shared" si="11"/>
        <v>401.48</v>
      </c>
    </row>
    <row r="189" spans="2:6">
      <c r="B189" s="148">
        <v>185</v>
      </c>
      <c r="C189" s="74">
        <f>IF($C$2=22.5,'S3'!A189,IF($C$2=23.5,'S3'!B189,IF($C$2=24.5,'S3'!C189,IF($C$2=25.5,'S3'!D189,IF($C$2=26.5,'S3'!E189,IF($C$2=27.5,'S3'!F189,IF($C$2=28.5,'S3'!G189,IF($C$2=29.5,'S3'!H189,IF($C$2=30.5,'S3'!I189,IF($C$2=31.5,'S3'!J189,IF($C$2=32.5,'S3'!K189,IF($C$2=33.5,'S3'!L189))))))))))))</f>
        <v>462.76</v>
      </c>
      <c r="D189" s="74">
        <f t="shared" si="10"/>
        <v>647.86</v>
      </c>
      <c r="E189" s="74">
        <f>IF($E$2=22.5,'S3'!Y189,IF($E$2=23.5,'S3'!Z189,IF($E$2=24.5,'S3'!AA189,IF($E$2=25.5,'S3'!AB189,IF($E$2=26.5,'S3'!AC189,IF($E$2=27.5,'S3'!AD189,IF($E$2=28.5,'S3'!AE189,IF($E$2=29.5,'S3'!AF189,IF($E$2=30.5,'S3'!AG189,IF($E$2=31.5,'S3'!AH189,IF($E$2=32.5,'S3'!AI189,IF($E$2=33.5,'S3'!AJ189))))))))))))</f>
        <v>288.36</v>
      </c>
      <c r="F189" s="74">
        <f t="shared" si="11"/>
        <v>403.7</v>
      </c>
    </row>
    <row r="190" spans="2:6">
      <c r="B190" s="148">
        <v>186</v>
      </c>
      <c r="C190" s="74">
        <f>IF($C$2=22.5,'S3'!A190,IF($C$2=23.5,'S3'!B190,IF($C$2=24.5,'S3'!C190,IF($C$2=25.5,'S3'!D190,IF($C$2=26.5,'S3'!E190,IF($C$2=27.5,'S3'!F190,IF($C$2=28.5,'S3'!G190,IF($C$2=29.5,'S3'!H190,IF($C$2=30.5,'S3'!I190,IF($C$2=31.5,'S3'!J190,IF($C$2=32.5,'S3'!K190,IF($C$2=33.5,'S3'!L190))))))))))))</f>
        <v>465.39</v>
      </c>
      <c r="D190" s="74">
        <f t="shared" si="10"/>
        <v>651.54999999999995</v>
      </c>
      <c r="E190" s="74">
        <f>IF($E$2=22.5,'S3'!Y190,IF($E$2=23.5,'S3'!Z190,IF($E$2=24.5,'S3'!AA190,IF($E$2=25.5,'S3'!AB190,IF($E$2=26.5,'S3'!AC190,IF($E$2=27.5,'S3'!AD190,IF($E$2=28.5,'S3'!AE190,IF($E$2=29.5,'S3'!AF190,IF($E$2=30.5,'S3'!AG190,IF($E$2=31.5,'S3'!AH190,IF($E$2=32.5,'S3'!AI190,IF($E$2=33.5,'S3'!AJ190))))))))))))</f>
        <v>289.95</v>
      </c>
      <c r="F190" s="74">
        <f t="shared" si="11"/>
        <v>405.93</v>
      </c>
    </row>
    <row r="191" spans="2:6">
      <c r="B191" s="148">
        <v>187</v>
      </c>
      <c r="C191" s="74">
        <f>IF($C$2=22.5,'S3'!A191,IF($C$2=23.5,'S3'!B191,IF($C$2=24.5,'S3'!C191,IF($C$2=25.5,'S3'!D191,IF($C$2=26.5,'S3'!E191,IF($C$2=27.5,'S3'!F191,IF($C$2=28.5,'S3'!G191,IF($C$2=29.5,'S3'!H191,IF($C$2=30.5,'S3'!I191,IF($C$2=31.5,'S3'!J191,IF($C$2=32.5,'S3'!K191,IF($C$2=33.5,'S3'!L191))))))))))))</f>
        <v>468.02</v>
      </c>
      <c r="D191" s="74">
        <f t="shared" si="10"/>
        <v>655.23</v>
      </c>
      <c r="E191" s="74">
        <f>IF($E$2=22.5,'S3'!Y191,IF($E$2=23.5,'S3'!Z191,IF($E$2=24.5,'S3'!AA191,IF($E$2=25.5,'S3'!AB191,IF($E$2=26.5,'S3'!AC191,IF($E$2=27.5,'S3'!AD191,IF($E$2=28.5,'S3'!AE191,IF($E$2=29.5,'S3'!AF191,IF($E$2=30.5,'S3'!AG191,IF($E$2=31.5,'S3'!AH191,IF($E$2=32.5,'S3'!AI191,IF($E$2=33.5,'S3'!AJ191))))))))))))</f>
        <v>291.55</v>
      </c>
      <c r="F191" s="74">
        <f t="shared" si="11"/>
        <v>408.17</v>
      </c>
    </row>
    <row r="192" spans="2:6">
      <c r="B192" s="148">
        <v>188</v>
      </c>
      <c r="C192" s="74">
        <f>IF($C$2=22.5,'S3'!A192,IF($C$2=23.5,'S3'!B192,IF($C$2=24.5,'S3'!C192,IF($C$2=25.5,'S3'!D192,IF($C$2=26.5,'S3'!E192,IF($C$2=27.5,'S3'!F192,IF($C$2=28.5,'S3'!G192,IF($C$2=29.5,'S3'!H192,IF($C$2=30.5,'S3'!I192,IF($C$2=31.5,'S3'!J192,IF($C$2=32.5,'S3'!K192,IF($C$2=33.5,'S3'!L192))))))))))))</f>
        <v>470.07</v>
      </c>
      <c r="D192" s="74">
        <f t="shared" si="10"/>
        <v>658.1</v>
      </c>
      <c r="E192" s="74">
        <f>IF($E$2=22.5,'S3'!Y192,IF($E$2=23.5,'S3'!Z192,IF($E$2=24.5,'S3'!AA192,IF($E$2=25.5,'S3'!AB192,IF($E$2=26.5,'S3'!AC192,IF($E$2=27.5,'S3'!AD192,IF($E$2=28.5,'S3'!AE192,IF($E$2=29.5,'S3'!AF192,IF($E$2=30.5,'S3'!AG192,IF($E$2=31.5,'S3'!AH192,IF($E$2=32.5,'S3'!AI192,IF($E$2=33.5,'S3'!AJ192))))))))))))</f>
        <v>292.99</v>
      </c>
      <c r="F192" s="74">
        <f t="shared" si="11"/>
        <v>410.19</v>
      </c>
    </row>
    <row r="193" spans="2:6">
      <c r="B193" s="148">
        <v>189</v>
      </c>
      <c r="C193" s="74">
        <f>IF($C$2=22.5,'S3'!A193,IF($C$2=23.5,'S3'!B193,IF($C$2=24.5,'S3'!C193,IF($C$2=25.5,'S3'!D193,IF($C$2=26.5,'S3'!E193,IF($C$2=27.5,'S3'!F193,IF($C$2=28.5,'S3'!G193,IF($C$2=29.5,'S3'!H193,IF($C$2=30.5,'S3'!I193,IF($C$2=31.5,'S3'!J193,IF($C$2=32.5,'S3'!K193,IF($C$2=33.5,'S3'!L193))))))))))))</f>
        <v>472.72</v>
      </c>
      <c r="D193" s="74">
        <f t="shared" si="10"/>
        <v>661.81</v>
      </c>
      <c r="E193" s="74">
        <f>IF($E$2=22.5,'S3'!Y193,IF($E$2=23.5,'S3'!Z193,IF($E$2=24.5,'S3'!AA193,IF($E$2=25.5,'S3'!AB193,IF($E$2=26.5,'S3'!AC193,IF($E$2=27.5,'S3'!AD193,IF($E$2=28.5,'S3'!AE193,IF($E$2=29.5,'S3'!AF193,IF($E$2=30.5,'S3'!AG193,IF($E$2=31.5,'S3'!AH193,IF($E$2=32.5,'S3'!AI193,IF($E$2=33.5,'S3'!AJ193))))))))))))</f>
        <v>294.58999999999997</v>
      </c>
      <c r="F193" s="74">
        <f t="shared" si="11"/>
        <v>412.43</v>
      </c>
    </row>
    <row r="194" spans="2:6">
      <c r="B194" s="148">
        <v>190</v>
      </c>
      <c r="C194" s="74">
        <f>IF($C$2=22.5,'S3'!A194,IF($C$2=23.5,'S3'!B194,IF($C$2=24.5,'S3'!C194,IF($C$2=25.5,'S3'!D194,IF($C$2=26.5,'S3'!E194,IF($C$2=27.5,'S3'!F194,IF($C$2=28.5,'S3'!G194,IF($C$2=29.5,'S3'!H194,IF($C$2=30.5,'S3'!I194,IF($C$2=31.5,'S3'!J194,IF($C$2=32.5,'S3'!K194,IF($C$2=33.5,'S3'!L194))))))))))))</f>
        <v>475.36</v>
      </c>
      <c r="D194" s="74">
        <f t="shared" si="10"/>
        <v>665.5</v>
      </c>
      <c r="E194" s="74">
        <f>IF($E$2=22.5,'S3'!Y194,IF($E$2=23.5,'S3'!Z194,IF($E$2=24.5,'S3'!AA194,IF($E$2=25.5,'S3'!AB194,IF($E$2=26.5,'S3'!AC194,IF($E$2=27.5,'S3'!AD194,IF($E$2=28.5,'S3'!AE194,IF($E$2=29.5,'S3'!AF194,IF($E$2=30.5,'S3'!AG194,IF($E$2=31.5,'S3'!AH194,IF($E$2=32.5,'S3'!AI194,IF($E$2=33.5,'S3'!AJ194))))))))))))</f>
        <v>296.19</v>
      </c>
      <c r="F194" s="74">
        <f t="shared" si="11"/>
        <v>414.67</v>
      </c>
    </row>
    <row r="195" spans="2:6">
      <c r="B195" s="148">
        <v>191</v>
      </c>
      <c r="C195" s="74">
        <f>IF($C$2=22.5,'S3'!A195,IF($C$2=23.5,'S3'!B195,IF($C$2=24.5,'S3'!C195,IF($C$2=25.5,'S3'!D195,IF($C$2=26.5,'S3'!E195,IF($C$2=27.5,'S3'!F195,IF($C$2=28.5,'S3'!G195,IF($C$2=29.5,'S3'!H195,IF($C$2=30.5,'S3'!I195,IF($C$2=31.5,'S3'!J195,IF($C$2=32.5,'S3'!K195,IF($C$2=33.5,'S3'!L195))))))))))))</f>
        <v>478.02</v>
      </c>
      <c r="D195" s="74">
        <f t="shared" si="10"/>
        <v>669.23</v>
      </c>
      <c r="E195" s="74">
        <f>IF($E$2=22.5,'S3'!Y195,IF($E$2=23.5,'S3'!Z195,IF($E$2=24.5,'S3'!AA195,IF($E$2=25.5,'S3'!AB195,IF($E$2=26.5,'S3'!AC195,IF($E$2=27.5,'S3'!AD195,IF($E$2=28.5,'S3'!AE195,IF($E$2=29.5,'S3'!AF195,IF($E$2=30.5,'S3'!AG195,IF($E$2=31.5,'S3'!AH195,IF($E$2=32.5,'S3'!AI195,IF($E$2=33.5,'S3'!AJ195))))))))))))</f>
        <v>297.79000000000002</v>
      </c>
      <c r="F195" s="74">
        <f t="shared" si="11"/>
        <v>416.91</v>
      </c>
    </row>
    <row r="196" spans="2:6">
      <c r="B196" s="148">
        <v>192</v>
      </c>
      <c r="C196" s="74">
        <f>IF($C$2=22.5,'S3'!A196,IF($C$2=23.5,'S3'!B196,IF($C$2=24.5,'S3'!C196,IF($C$2=25.5,'S3'!D196,IF($C$2=26.5,'S3'!E196,IF($C$2=27.5,'S3'!F196,IF($C$2=28.5,'S3'!G196,IF($C$2=29.5,'S3'!H196,IF($C$2=30.5,'S3'!I196,IF($C$2=31.5,'S3'!J196,IF($C$2=32.5,'S3'!K196,IF($C$2=33.5,'S3'!L196))))))))))))</f>
        <v>480.08</v>
      </c>
      <c r="D196" s="74">
        <f t="shared" si="10"/>
        <v>672.11</v>
      </c>
      <c r="E196" s="74">
        <f>IF($E$2=22.5,'S3'!Y196,IF($E$2=23.5,'S3'!Z196,IF($E$2=24.5,'S3'!AA196,IF($E$2=25.5,'S3'!AB196,IF($E$2=26.5,'S3'!AC196,IF($E$2=27.5,'S3'!AD196,IF($E$2=28.5,'S3'!AE196,IF($E$2=29.5,'S3'!AF196,IF($E$2=30.5,'S3'!AG196,IF($E$2=31.5,'S3'!AH196,IF($E$2=32.5,'S3'!AI196,IF($E$2=33.5,'S3'!AJ196))))))))))))</f>
        <v>299.23</v>
      </c>
      <c r="F196" s="74">
        <f t="shared" si="11"/>
        <v>418.92</v>
      </c>
    </row>
    <row r="197" spans="2:6">
      <c r="B197" s="148">
        <v>193</v>
      </c>
      <c r="C197" s="74">
        <f>IF($C$2=22.5,'S3'!A197,IF($C$2=23.5,'S3'!B197,IF($C$2=24.5,'S3'!C197,IF($C$2=25.5,'S3'!D197,IF($C$2=26.5,'S3'!E197,IF($C$2=27.5,'S3'!F197,IF($C$2=28.5,'S3'!G197,IF($C$2=29.5,'S3'!H197,IF($C$2=30.5,'S3'!I197,IF($C$2=31.5,'S3'!J197,IF($C$2=32.5,'S3'!K197,IF($C$2=33.5,'S3'!L197))))))))))))</f>
        <v>482.42</v>
      </c>
      <c r="D197" s="74">
        <f t="shared" si="10"/>
        <v>675.39</v>
      </c>
      <c r="E197" s="74">
        <f>IF($E$2=22.5,'S3'!Y197,IF($E$2=23.5,'S3'!Z197,IF($E$2=24.5,'S3'!AA197,IF($E$2=25.5,'S3'!AB197,IF($E$2=26.5,'S3'!AC197,IF($E$2=27.5,'S3'!AD197,IF($E$2=28.5,'S3'!AE197,IF($E$2=29.5,'S3'!AF197,IF($E$2=30.5,'S3'!AG197,IF($E$2=31.5,'S3'!AH197,IF($E$2=32.5,'S3'!AI197,IF($E$2=33.5,'S3'!AJ197))))))))))))</f>
        <v>300.83</v>
      </c>
      <c r="F197" s="74">
        <f t="shared" si="11"/>
        <v>421.16</v>
      </c>
    </row>
    <row r="198" spans="2:6">
      <c r="B198" s="148">
        <v>194</v>
      </c>
      <c r="C198" s="74">
        <f>IF($C$2=22.5,'S3'!A198,IF($C$2=23.5,'S3'!B198,IF($C$2=24.5,'S3'!C198,IF($C$2=25.5,'S3'!D198,IF($C$2=26.5,'S3'!E198,IF($C$2=27.5,'S3'!F198,IF($C$2=28.5,'S3'!G198,IF($C$2=29.5,'S3'!H198,IF($C$2=30.5,'S3'!I198,IF($C$2=31.5,'S3'!J198,IF($C$2=32.5,'S3'!K198,IF($C$2=33.5,'S3'!L198))))))))))))</f>
        <v>485.42</v>
      </c>
      <c r="D198" s="74">
        <f t="shared" ref="D198:D204" si="12">ROUND(C198*1.4,2)</f>
        <v>679.59</v>
      </c>
      <c r="E198" s="74">
        <f>IF($E$2=22.5,'S3'!Y198,IF($E$2=23.5,'S3'!Z198,IF($E$2=24.5,'S3'!AA198,IF($E$2=25.5,'S3'!AB198,IF($E$2=26.5,'S3'!AC198,IF($E$2=27.5,'S3'!AD198,IF($E$2=28.5,'S3'!AE198,IF($E$2=29.5,'S3'!AF198,IF($E$2=30.5,'S3'!AG198,IF($E$2=31.5,'S3'!AH198,IF($E$2=32.5,'S3'!AI198,IF($E$2=33.5,'S3'!AJ198))))))))))))</f>
        <v>302.44</v>
      </c>
      <c r="F198" s="74">
        <f t="shared" ref="F198:F204" si="13">ROUND(E198*1.4,2)</f>
        <v>423.42</v>
      </c>
    </row>
    <row r="199" spans="2:6">
      <c r="B199" s="148">
        <v>195</v>
      </c>
      <c r="C199" s="74">
        <f>IF($C$2=22.5,'S3'!A199,IF($C$2=23.5,'S3'!B199,IF($C$2=24.5,'S3'!C199,IF($C$2=25.5,'S3'!D199,IF($C$2=26.5,'S3'!E199,IF($C$2=27.5,'S3'!F199,IF($C$2=28.5,'S3'!G199,IF($C$2=29.5,'S3'!H199,IF($C$2=30.5,'S3'!I199,IF($C$2=31.5,'S3'!J199,IF($C$2=32.5,'S3'!K199,IF($C$2=33.5,'S3'!L199))))))))))))</f>
        <v>488.1</v>
      </c>
      <c r="D199" s="74">
        <f t="shared" si="12"/>
        <v>683.34</v>
      </c>
      <c r="E199" s="74">
        <f>IF($E$2=22.5,'S3'!Y199,IF($E$2=23.5,'S3'!Z199,IF($E$2=24.5,'S3'!AA199,IF($E$2=25.5,'S3'!AB199,IF($E$2=26.5,'S3'!AC199,IF($E$2=27.5,'S3'!AD199,IF($E$2=28.5,'S3'!AE199,IF($E$2=29.5,'S3'!AF199,IF($E$2=30.5,'S3'!AG199,IF($E$2=31.5,'S3'!AH199,IF($E$2=32.5,'S3'!AI199,IF($E$2=33.5,'S3'!AJ199))))))))))))</f>
        <v>303.88</v>
      </c>
      <c r="F199" s="74">
        <f t="shared" si="13"/>
        <v>425.43</v>
      </c>
    </row>
    <row r="200" spans="2:6">
      <c r="B200" s="148">
        <v>196</v>
      </c>
      <c r="C200" s="74">
        <f>IF($C$2=22.5,'S3'!A200,IF($C$2=23.5,'S3'!B200,IF($C$2=24.5,'S3'!C200,IF($C$2=25.5,'S3'!D200,IF($C$2=26.5,'S3'!E200,IF($C$2=27.5,'S3'!F200,IF($C$2=28.5,'S3'!G200,IF($C$2=29.5,'S3'!H200,IF($C$2=30.5,'S3'!I200,IF($C$2=31.5,'S3'!J200,IF($C$2=32.5,'S3'!K200,IF($C$2=33.5,'S3'!L200))))))))))))</f>
        <v>490.16</v>
      </c>
      <c r="D200" s="74">
        <f t="shared" si="12"/>
        <v>686.22</v>
      </c>
      <c r="E200" s="74">
        <f>IF($E$2=22.5,'S3'!Y200,IF($E$2=23.5,'S3'!Z200,IF($E$2=24.5,'S3'!AA200,IF($E$2=25.5,'S3'!AB200,IF($E$2=26.5,'S3'!AC200,IF($E$2=27.5,'S3'!AD200,IF($E$2=28.5,'S3'!AE200,IF($E$2=29.5,'S3'!AF200,IF($E$2=30.5,'S3'!AG200,IF($E$2=31.5,'S3'!AH200,IF($E$2=32.5,'S3'!AI200,IF($E$2=33.5,'S3'!AJ200))))))))))))</f>
        <v>305.49</v>
      </c>
      <c r="F200" s="74">
        <f t="shared" si="13"/>
        <v>427.69</v>
      </c>
    </row>
    <row r="201" spans="2:6">
      <c r="B201" s="148">
        <v>197</v>
      </c>
      <c r="C201" s="74">
        <f>IF($C$2=22.5,'S3'!A201,IF($C$2=23.5,'S3'!B201,IF($C$2=24.5,'S3'!C201,IF($C$2=25.5,'S3'!D201,IF($C$2=26.5,'S3'!E201,IF($C$2=27.5,'S3'!F201,IF($C$2=28.5,'S3'!G201,IF($C$2=29.5,'S3'!H201,IF($C$2=30.5,'S3'!I201,IF($C$2=31.5,'S3'!J201,IF($C$2=32.5,'S3'!K201,IF($C$2=33.5,'S3'!L201))))))))))))</f>
        <v>492.85</v>
      </c>
      <c r="D201" s="74">
        <f t="shared" si="12"/>
        <v>689.99</v>
      </c>
      <c r="E201" s="74">
        <f>IF($E$2=22.5,'S3'!Y201,IF($E$2=23.5,'S3'!Z201,IF($E$2=24.5,'S3'!AA201,IF($E$2=25.5,'S3'!AB201,IF($E$2=26.5,'S3'!AC201,IF($E$2=27.5,'S3'!AD201,IF($E$2=28.5,'S3'!AE201,IF($E$2=29.5,'S3'!AF201,IF($E$2=30.5,'S3'!AG201,IF($E$2=31.5,'S3'!AH201,IF($E$2=32.5,'S3'!AI201,IF($E$2=33.5,'S3'!AJ201))))))))))))</f>
        <v>307.10000000000002</v>
      </c>
      <c r="F201" s="74">
        <f t="shared" si="13"/>
        <v>429.94</v>
      </c>
    </row>
    <row r="202" spans="2:6">
      <c r="B202" s="148">
        <v>198</v>
      </c>
      <c r="C202" s="74">
        <f>IF($C$2=22.5,'S3'!A202,IF($C$2=23.5,'S3'!B202,IF($C$2=24.5,'S3'!C202,IF($C$2=25.5,'S3'!D202,IF($C$2=26.5,'S3'!E202,IF($C$2=27.5,'S3'!F202,IF($C$2=28.5,'S3'!G202,IF($C$2=29.5,'S3'!H202,IF($C$2=30.5,'S3'!I202,IF($C$2=31.5,'S3'!J202,IF($C$2=32.5,'S3'!K202,IF($C$2=33.5,'S3'!L202))))))))))))</f>
        <v>495.55</v>
      </c>
      <c r="D202" s="74">
        <f t="shared" si="12"/>
        <v>693.77</v>
      </c>
      <c r="E202" s="74">
        <f>IF($E$2=22.5,'S3'!Y202,IF($E$2=23.5,'S3'!Z202,IF($E$2=24.5,'S3'!AA202,IF($E$2=25.5,'S3'!AB202,IF($E$2=26.5,'S3'!AC202,IF($E$2=27.5,'S3'!AD202,IF($E$2=28.5,'S3'!AE202,IF($E$2=29.5,'S3'!AF202,IF($E$2=30.5,'S3'!AG202,IF($E$2=31.5,'S3'!AH202,IF($E$2=32.5,'S3'!AI202,IF($E$2=33.5,'S3'!AJ202))))))))))))</f>
        <v>308.54000000000002</v>
      </c>
      <c r="F202" s="74">
        <f t="shared" si="13"/>
        <v>431.96</v>
      </c>
    </row>
    <row r="203" spans="2:6">
      <c r="B203" s="148">
        <v>199</v>
      </c>
      <c r="C203" s="74">
        <f>IF($C$2=22.5,'S3'!A203,IF($C$2=23.5,'S3'!B203,IF($C$2=24.5,'S3'!C203,IF($C$2=25.5,'S3'!D203,IF($C$2=26.5,'S3'!E203,IF($C$2=27.5,'S3'!F203,IF($C$2=28.5,'S3'!G203,IF($C$2=29.5,'S3'!H203,IF($C$2=30.5,'S3'!I203,IF($C$2=31.5,'S3'!J203,IF($C$2=32.5,'S3'!K203,IF($C$2=33.5,'S3'!L203))))))))))))</f>
        <v>497.6</v>
      </c>
      <c r="D203" s="74">
        <f t="shared" si="12"/>
        <v>696.64</v>
      </c>
      <c r="E203" s="74">
        <f>IF($E$2=22.5,'S3'!Y203,IF($E$2=23.5,'S3'!Z203,IF($E$2=24.5,'S3'!AA203,IF($E$2=25.5,'S3'!AB203,IF($E$2=26.5,'S3'!AC203,IF($E$2=27.5,'S3'!AD203,IF($E$2=28.5,'S3'!AE203,IF($E$2=29.5,'S3'!AF203,IF($E$2=30.5,'S3'!AG203,IF($E$2=31.5,'S3'!AH203,IF($E$2=32.5,'S3'!AI203,IF($E$2=33.5,'S3'!AJ203))))))))))))</f>
        <v>310.16000000000003</v>
      </c>
      <c r="F203" s="74">
        <f t="shared" si="13"/>
        <v>434.22</v>
      </c>
    </row>
    <row r="204" spans="2:6">
      <c r="B204" s="149">
        <v>200</v>
      </c>
      <c r="C204" s="83">
        <f>IF($C$2=22.5,'S3'!A204,IF($C$2=23.5,'S3'!B204,IF($C$2=24.5,'S3'!C204,IF($C$2=25.5,'S3'!D204,IF($C$2=26.5,'S3'!E204,IF($C$2=27.5,'S3'!F204,IF($C$2=28.5,'S3'!G204,IF($C$2=29.5,'S3'!H204,IF($C$2=30.5,'S3'!I204,IF($C$2=31.5,'S3'!J204,IF($C$2=32.5,'S3'!K204,IF($C$2=33.5,'S3'!L204))))))))))))</f>
        <v>500.32</v>
      </c>
      <c r="D204" s="1328">
        <f t="shared" si="12"/>
        <v>700.45</v>
      </c>
      <c r="E204" s="83">
        <f>IF($E$2=22.5,'S3'!Y204,IF($E$2=23.5,'S3'!Z204,IF($E$2=24.5,'S3'!AA204,IF($E$2=25.5,'S3'!AB204,IF($E$2=26.5,'S3'!AC204,IF($E$2=27.5,'S3'!AD204,IF($E$2=28.5,'S3'!AE204,IF($E$2=29.5,'S3'!AF204,IF($E$2=30.5,'S3'!AG204,IF($E$2=31.5,'S3'!AH204,IF($E$2=32.5,'S3'!AI204,IF($E$2=33.5,'S3'!AJ204))))))))))))</f>
        <v>311.77</v>
      </c>
      <c r="F204" s="83">
        <f t="shared" si="13"/>
        <v>436.48</v>
      </c>
    </row>
    <row r="205" spans="2:6" ht="21" thickBot="1">
      <c r="B205" s="82"/>
      <c r="C205" s="75">
        <f>IF($C$2=22.5,'S3'!A205,IF($C$2=23.5,'S3'!B205,IF($C$2=24.5,'S3'!C205,IF($C$2=25.5,'S3'!D205,IF($C$2=26.5,'S3'!E205,IF($C$2=27.5,'S3'!F205,IF($C$2=28.5,'S3'!G205,IF($C$2=29.5,'S3'!H205,IF($C$2=30.5,'S3'!I205,IF($C$2=31.5,'S3'!J205,IF($C$2=32.5,'S3'!K205,IF($C$2=33.5,'S3'!L205))))))))))))</f>
        <v>2.5</v>
      </c>
      <c r="D205" s="75">
        <f>ROUNDDOWN(C205*1.4,2)</f>
        <v>3.5</v>
      </c>
      <c r="E205" s="75">
        <f>IF($E$2=22.5,'S3'!Y205,IF($E$2=23.5,'S3'!Z205,IF($E$2=24.5,'S3'!AA205,IF($E$2=25.5,'S3'!AB205,IF($E$2=26.5,'S3'!AC205,IF($E$2=27.5,'S3'!AD205,IF($E$2=28.5,'S3'!AE205,IF($E$2=29.5,'S3'!AF205,IF($E$2=30.5,'S3'!AG205,IF($E$2=31.5,'S3'!AH205,IF($E$2=32.5,'S3'!AI205,IF($E$2=33.5,'S3'!AJ205))))))))))))</f>
        <v>1.56</v>
      </c>
      <c r="F205" s="75">
        <f>ROUNDDOWN(E205*1.4,2)</f>
        <v>2.1800000000000002</v>
      </c>
    </row>
    <row r="206" spans="2:6">
      <c r="B206" s="58"/>
      <c r="C206" s="59"/>
      <c r="D206" s="58"/>
      <c r="E206" s="58"/>
    </row>
    <row r="207" spans="2:6">
      <c r="B207" s="58"/>
      <c r="C207" s="59"/>
      <c r="D207" s="58"/>
      <c r="E207" s="58"/>
    </row>
    <row r="208" spans="2:6">
      <c r="B208" s="58"/>
      <c r="C208" s="59"/>
      <c r="D208" s="58"/>
      <c r="E208" s="58"/>
    </row>
  </sheetData>
  <mergeCells count="24">
    <mergeCell ref="AF2:AG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BI31:BJ31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</mergeCells>
  <pageMargins left="0.75" right="0.75" top="1" bottom="1" header="0.5" footer="0.5"/>
  <pageSetup paperSize="9" orientation="portrait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83"/>
  <sheetViews>
    <sheetView showGridLines="0" view="pageBreakPreview" topLeftCell="A37" zoomScale="70" zoomScaleSheetLayoutView="70" workbookViewId="0">
      <selection activeCell="K31" sqref="K31"/>
    </sheetView>
  </sheetViews>
  <sheetFormatPr defaultColWidth="9.140625" defaultRowHeight="24.95" customHeight="1"/>
  <cols>
    <col min="1" max="1" width="7.5703125" style="1065" customWidth="1"/>
    <col min="2" max="2" width="9.85546875" style="1065" customWidth="1"/>
    <col min="3" max="3" width="14" style="1065" customWidth="1"/>
    <col min="4" max="4" width="15.42578125" style="1065" customWidth="1"/>
    <col min="5" max="5" width="9.85546875" style="1065" customWidth="1"/>
    <col min="6" max="6" width="11.85546875" style="1065" customWidth="1"/>
    <col min="7" max="7" width="21.28515625" style="1065" customWidth="1"/>
    <col min="8" max="8" width="7" style="1065" customWidth="1"/>
    <col min="9" max="10" width="9.85546875" style="1065" customWidth="1"/>
    <col min="11" max="11" width="26.28515625" style="1065" customWidth="1"/>
    <col min="12" max="12" width="9.85546875" style="1065" customWidth="1"/>
    <col min="13" max="13" width="10.7109375" style="1065" customWidth="1"/>
    <col min="14" max="14" width="9.85546875" style="1065" customWidth="1"/>
    <col min="15" max="15" width="8.7109375" style="1065" customWidth="1"/>
    <col min="16" max="16" width="13.140625" style="1065" customWidth="1"/>
    <col min="17" max="17" width="8" style="1065" customWidth="1"/>
    <col min="18" max="18" width="17.28515625" style="1065" customWidth="1"/>
    <col min="19" max="19" width="13.7109375" style="1065" customWidth="1"/>
    <col min="20" max="20" width="12.5703125" style="1065" customWidth="1"/>
    <col min="21" max="21" width="16.7109375" style="1065" customWidth="1"/>
    <col min="22" max="22" width="9.85546875" style="1065" customWidth="1"/>
    <col min="23" max="23" width="12.28515625" style="1065" customWidth="1"/>
    <col min="24" max="16384" width="9.140625" style="1065"/>
  </cols>
  <sheetData>
    <row r="1" spans="1:23" ht="24.95" customHeight="1">
      <c r="A1" s="2015" t="e">
        <f>#REF!</f>
        <v>#REF!</v>
      </c>
      <c r="B1" s="2016"/>
      <c r="C1" s="2016"/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6"/>
      <c r="R1" s="2016"/>
      <c r="S1" s="2016"/>
      <c r="T1" s="2016"/>
      <c r="U1" s="2016"/>
      <c r="V1" s="2016"/>
      <c r="W1" s="2017"/>
    </row>
    <row r="2" spans="1:23" ht="24.95" customHeight="1">
      <c r="A2" s="2018"/>
      <c r="B2" s="2019"/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2019"/>
      <c r="Q2" s="2019"/>
      <c r="R2" s="2019"/>
      <c r="S2" s="2019"/>
      <c r="T2" s="2019"/>
      <c r="U2" s="2019"/>
      <c r="V2" s="2019"/>
      <c r="W2" s="2020"/>
    </row>
    <row r="3" spans="1:23" ht="24.95" customHeight="1">
      <c r="A3" s="2012" t="e">
        <f>#REF!</f>
        <v>#REF!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2013"/>
      <c r="M3" s="2013"/>
      <c r="N3" s="2013"/>
      <c r="O3" s="2013"/>
      <c r="P3" s="2013"/>
      <c r="Q3" s="2013"/>
      <c r="R3" s="2013"/>
      <c r="S3" s="2013"/>
      <c r="T3" s="2013"/>
      <c r="U3" s="2013"/>
      <c r="V3" s="2013"/>
      <c r="W3" s="2014"/>
    </row>
    <row r="4" spans="1:23" ht="24.95" customHeight="1">
      <c r="A4" s="2012"/>
      <c r="B4" s="2013"/>
      <c r="C4" s="2013"/>
      <c r="D4" s="2013"/>
      <c r="E4" s="2013"/>
      <c r="F4" s="2013"/>
      <c r="G4" s="2013"/>
      <c r="H4" s="2013"/>
      <c r="I4" s="2013"/>
      <c r="J4" s="2013"/>
      <c r="K4" s="2013"/>
      <c r="L4" s="2013"/>
      <c r="M4" s="2013"/>
      <c r="N4" s="2013"/>
      <c r="O4" s="2013"/>
      <c r="P4" s="2013"/>
      <c r="Q4" s="2013"/>
      <c r="R4" s="2013"/>
      <c r="S4" s="2013"/>
      <c r="T4" s="2013"/>
      <c r="U4" s="2013"/>
      <c r="V4" s="2013"/>
      <c r="W4" s="2014"/>
    </row>
    <row r="5" spans="1:23" ht="24.95" customHeight="1">
      <c r="A5" s="235"/>
      <c r="B5" s="215"/>
      <c r="C5" s="215"/>
      <c r="D5" s="215"/>
      <c r="E5" s="215"/>
      <c r="F5" s="252"/>
      <c r="G5" s="252"/>
      <c r="H5" s="1066" t="s">
        <v>1005</v>
      </c>
      <c r="J5" s="1066"/>
      <c r="K5" s="2128" t="e">
        <f>#REF!</f>
        <v>#REF!</v>
      </c>
      <c r="L5" s="2128"/>
      <c r="M5" s="2128"/>
      <c r="N5" s="2128"/>
      <c r="O5" s="196" t="s">
        <v>302</v>
      </c>
      <c r="P5" s="1062"/>
      <c r="Q5" s="252"/>
      <c r="R5" s="215"/>
      <c r="S5" s="215"/>
      <c r="T5" s="215"/>
      <c r="U5" s="215"/>
      <c r="V5" s="215"/>
      <c r="W5" s="253"/>
    </row>
    <row r="6" spans="1:23" ht="24.95" customHeight="1">
      <c r="A6" s="2109" t="s">
        <v>1017</v>
      </c>
      <c r="B6" s="2110"/>
      <c r="C6" s="2110"/>
      <c r="D6" s="2110"/>
      <c r="E6" s="2110"/>
      <c r="F6" s="2110"/>
      <c r="G6" s="2110"/>
      <c r="H6" s="2110"/>
      <c r="I6" s="2110"/>
      <c r="J6" s="2110"/>
      <c r="K6" s="2110"/>
      <c r="L6" s="2110"/>
      <c r="M6" s="2110"/>
      <c r="N6" s="2110"/>
      <c r="O6" s="2110"/>
      <c r="P6" s="2110"/>
      <c r="Q6" s="2110"/>
      <c r="R6" s="2110"/>
      <c r="S6" s="2110"/>
      <c r="T6" s="2110"/>
      <c r="U6" s="2110"/>
      <c r="V6" s="2110"/>
      <c r="W6" s="2111"/>
    </row>
    <row r="7" spans="1:23" ht="24.95" customHeight="1">
      <c r="A7" s="2109"/>
      <c r="B7" s="2110"/>
      <c r="C7" s="2110"/>
      <c r="D7" s="2110"/>
      <c r="E7" s="2110"/>
      <c r="F7" s="2110"/>
      <c r="G7" s="2110"/>
      <c r="H7" s="2110"/>
      <c r="I7" s="2110"/>
      <c r="J7" s="2110"/>
      <c r="K7" s="2110"/>
      <c r="L7" s="2110"/>
      <c r="M7" s="2110"/>
      <c r="N7" s="2110"/>
      <c r="O7" s="2110"/>
      <c r="P7" s="2110"/>
      <c r="Q7" s="2110"/>
      <c r="R7" s="2110"/>
      <c r="S7" s="2110"/>
      <c r="T7" s="2110"/>
      <c r="U7" s="2110"/>
      <c r="V7" s="2110"/>
      <c r="W7" s="2111"/>
    </row>
    <row r="8" spans="1:23" ht="24.95" customHeight="1">
      <c r="A8" s="254"/>
      <c r="B8" s="215"/>
      <c r="C8" s="215"/>
      <c r="D8" s="215"/>
      <c r="E8" s="215"/>
      <c r="F8" s="215"/>
      <c r="G8" s="215"/>
      <c r="H8" s="215"/>
      <c r="I8" s="215"/>
      <c r="J8" s="1953"/>
      <c r="K8" s="1953"/>
      <c r="L8" s="1064"/>
      <c r="M8" s="215"/>
      <c r="N8" s="215"/>
      <c r="O8" s="215"/>
      <c r="P8" s="215"/>
      <c r="Q8" s="215"/>
      <c r="R8" s="215"/>
      <c r="S8" s="215"/>
      <c r="T8" s="215"/>
      <c r="U8" s="215"/>
      <c r="V8" s="178"/>
      <c r="W8" s="253"/>
    </row>
    <row r="9" spans="1:23" ht="24.95" customHeight="1">
      <c r="A9" s="235"/>
      <c r="B9" s="215"/>
      <c r="C9" s="215"/>
      <c r="D9" s="215"/>
      <c r="E9" s="215"/>
      <c r="F9" s="1058"/>
      <c r="H9" s="215"/>
      <c r="I9" s="215"/>
      <c r="J9" s="256"/>
      <c r="L9" s="644"/>
      <c r="M9" s="215"/>
      <c r="N9" s="215"/>
      <c r="O9" s="1058"/>
      <c r="P9" s="215"/>
      <c r="Q9" s="215"/>
      <c r="R9" s="215"/>
      <c r="S9" s="215"/>
      <c r="T9" s="215"/>
      <c r="U9" s="215"/>
      <c r="V9" s="178"/>
      <c r="W9" s="253"/>
    </row>
    <row r="10" spans="1:23" ht="24.95" customHeight="1">
      <c r="A10" s="235"/>
      <c r="B10" s="215"/>
      <c r="C10" s="215"/>
      <c r="D10" s="215"/>
      <c r="E10" s="215"/>
      <c r="F10" s="1058"/>
      <c r="G10" s="257"/>
      <c r="H10" s="215"/>
      <c r="I10" s="215"/>
      <c r="J10" s="1953"/>
      <c r="K10" s="1953"/>
      <c r="L10" s="257"/>
      <c r="M10" s="215"/>
      <c r="N10" s="215"/>
      <c r="O10" s="1058"/>
      <c r="P10" s="257"/>
      <c r="Q10" s="215"/>
      <c r="R10" s="215"/>
      <c r="S10" s="215"/>
      <c r="T10" s="215"/>
      <c r="U10" s="215"/>
      <c r="V10" s="178"/>
      <c r="W10" s="253"/>
    </row>
    <row r="11" spans="1:23" ht="24.95" customHeight="1">
      <c r="A11" s="258"/>
      <c r="B11" s="259"/>
      <c r="C11" s="259"/>
      <c r="D11" s="215"/>
      <c r="E11" s="215"/>
      <c r="F11" s="257"/>
      <c r="G11" s="176"/>
      <c r="H11" s="1947"/>
      <c r="I11" s="1947"/>
      <c r="J11" s="257"/>
      <c r="K11" s="666"/>
      <c r="L11" s="644"/>
      <c r="M11" s="260"/>
      <c r="N11" s="260"/>
      <c r="O11" s="176"/>
      <c r="P11" s="644"/>
      <c r="Q11" s="1063"/>
      <c r="R11" s="215"/>
      <c r="S11" s="215"/>
      <c r="T11" s="215"/>
      <c r="U11" s="215"/>
      <c r="V11" s="178"/>
      <c r="W11" s="253"/>
    </row>
    <row r="12" spans="1:23" ht="24.95" customHeight="1">
      <c r="A12" s="261"/>
      <c r="B12" s="262"/>
      <c r="C12" s="215"/>
      <c r="D12" s="263"/>
      <c r="E12" s="264"/>
      <c r="F12" s="265"/>
      <c r="G12" s="1067"/>
      <c r="H12" s="267"/>
      <c r="I12" s="1068"/>
      <c r="J12" s="1058"/>
      <c r="K12" s="269"/>
      <c r="L12" s="1069"/>
      <c r="M12" s="215"/>
      <c r="N12" s="1070"/>
      <c r="O12" s="1069"/>
      <c r="P12" s="215"/>
      <c r="Q12" s="215"/>
      <c r="R12" s="215"/>
      <c r="S12" s="215"/>
      <c r="T12" s="215"/>
      <c r="U12" s="215"/>
      <c r="V12" s="178"/>
      <c r="W12" s="253"/>
    </row>
    <row r="13" spans="1:23" ht="24.95" customHeight="1">
      <c r="A13" s="235"/>
      <c r="B13" s="215"/>
      <c r="C13" s="178"/>
      <c r="D13" s="272"/>
      <c r="E13" s="264"/>
      <c r="F13" s="273"/>
      <c r="G13" s="178"/>
      <c r="H13" s="215"/>
      <c r="I13" s="215"/>
      <c r="J13" s="215"/>
      <c r="K13" s="215"/>
      <c r="L13" s="215"/>
      <c r="M13" s="215"/>
      <c r="N13" s="274"/>
      <c r="O13" s="274"/>
      <c r="P13" s="275"/>
      <c r="Q13" s="2010"/>
      <c r="R13" s="275"/>
      <c r="S13" s="275"/>
      <c r="T13" s="276"/>
      <c r="U13" s="215"/>
      <c r="V13" s="178"/>
      <c r="W13" s="253"/>
    </row>
    <row r="14" spans="1:23" ht="24.95" customHeight="1">
      <c r="A14" s="235"/>
      <c r="B14" s="215"/>
      <c r="C14" s="277"/>
      <c r="D14" s="272"/>
      <c r="E14" s="264"/>
      <c r="F14" s="178"/>
      <c r="G14" s="215"/>
      <c r="H14" s="215"/>
      <c r="I14" s="215"/>
      <c r="J14" s="215"/>
      <c r="K14" s="215"/>
      <c r="L14" s="215"/>
      <c r="M14" s="215"/>
      <c r="N14" s="215"/>
      <c r="O14" s="275"/>
      <c r="P14" s="275"/>
      <c r="Q14" s="2010"/>
      <c r="R14" s="275"/>
      <c r="S14" s="275"/>
      <c r="T14" s="276"/>
      <c r="U14" s="278"/>
      <c r="V14" s="178"/>
      <c r="W14" s="253"/>
    </row>
    <row r="15" spans="1:23" ht="24.95" customHeight="1">
      <c r="A15" s="279"/>
      <c r="B15" s="257"/>
      <c r="C15" s="257"/>
      <c r="D15" s="257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75"/>
      <c r="R15" s="275"/>
      <c r="S15" s="275"/>
      <c r="T15" s="215"/>
      <c r="U15" s="215"/>
      <c r="V15" s="178"/>
      <c r="W15" s="253"/>
    </row>
    <row r="16" spans="1:23" ht="24.95" customHeight="1">
      <c r="A16" s="23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178"/>
      <c r="W16" s="253"/>
    </row>
    <row r="17" spans="1:23" ht="24.95" customHeight="1">
      <c r="A17" s="235"/>
      <c r="B17" s="215"/>
      <c r="C17" s="215"/>
      <c r="D17" s="215"/>
      <c r="E17" s="215"/>
      <c r="F17" s="215"/>
      <c r="G17" s="178"/>
      <c r="H17" s="215"/>
      <c r="I17" s="215"/>
      <c r="J17" s="176"/>
      <c r="K17" s="215"/>
      <c r="L17" s="215"/>
      <c r="M17" s="215"/>
      <c r="N17" s="176"/>
      <c r="O17" s="176"/>
      <c r="P17" s="176"/>
      <c r="Q17" s="215"/>
      <c r="R17" s="176"/>
      <c r="S17" s="215"/>
      <c r="T17" s="215"/>
      <c r="U17" s="215"/>
      <c r="V17" s="215"/>
      <c r="W17" s="253"/>
    </row>
    <row r="18" spans="1:23" ht="24.95" customHeight="1">
      <c r="A18" s="180"/>
      <c r="B18" s="280"/>
      <c r="C18" s="280"/>
      <c r="D18" s="280"/>
      <c r="E18" s="280"/>
      <c r="F18" s="215"/>
      <c r="G18" s="215"/>
      <c r="H18" s="215"/>
      <c r="J18" s="176"/>
      <c r="K18" s="176"/>
      <c r="L18" s="215"/>
      <c r="M18" s="215"/>
      <c r="N18" s="176"/>
      <c r="O18" s="176"/>
      <c r="P18" s="286" t="s">
        <v>1006</v>
      </c>
      <c r="R18" s="215"/>
      <c r="S18" s="176"/>
      <c r="T18" s="176"/>
      <c r="U18" s="176"/>
      <c r="V18" s="215"/>
      <c r="W18" s="253"/>
    </row>
    <row r="19" spans="1:23" ht="24.95" customHeight="1">
      <c r="A19" s="180"/>
      <c r="B19" s="215"/>
      <c r="C19" s="281"/>
      <c r="D19" s="176"/>
      <c r="E19" s="176"/>
      <c r="F19" s="215"/>
      <c r="G19" s="176"/>
      <c r="H19" s="215"/>
      <c r="I19" s="615" t="s">
        <v>1007</v>
      </c>
      <c r="K19" s="176"/>
      <c r="L19" s="176"/>
      <c r="M19" s="215"/>
      <c r="N19" s="176"/>
      <c r="O19" s="215" t="s">
        <v>1018</v>
      </c>
      <c r="P19" s="176"/>
      <c r="R19" s="215"/>
      <c r="S19" s="215"/>
      <c r="T19" s="1058"/>
      <c r="U19" s="301"/>
      <c r="V19" s="176"/>
      <c r="W19" s="253"/>
    </row>
    <row r="20" spans="1:23" ht="24.95" customHeight="1">
      <c r="A20" s="235"/>
      <c r="B20" s="215"/>
      <c r="C20" s="215"/>
      <c r="D20" s="176"/>
      <c r="E20" s="615"/>
      <c r="F20" s="215"/>
      <c r="G20" s="176"/>
      <c r="H20" s="176"/>
      <c r="I20" s="215" t="s">
        <v>1019</v>
      </c>
      <c r="J20" s="176"/>
      <c r="K20" s="176"/>
      <c r="L20" s="215"/>
      <c r="M20" s="215"/>
      <c r="N20" s="176"/>
      <c r="O20" s="215" t="s">
        <v>1012</v>
      </c>
      <c r="P20" s="176"/>
      <c r="R20" s="215"/>
      <c r="S20" s="215"/>
      <c r="T20" s="215"/>
      <c r="U20" s="215"/>
      <c r="V20" s="215"/>
      <c r="W20" s="253"/>
    </row>
    <row r="21" spans="1:23" ht="24.95" customHeight="1">
      <c r="A21" s="282"/>
      <c r="B21" s="1060"/>
      <c r="C21" s="1060"/>
      <c r="D21" s="176"/>
      <c r="E21" s="176"/>
      <c r="F21" s="1060"/>
      <c r="G21" s="215"/>
      <c r="I21" s="215" t="s">
        <v>1011</v>
      </c>
      <c r="J21" s="176"/>
      <c r="K21" s="215"/>
      <c r="L21" s="215"/>
      <c r="M21" s="215"/>
      <c r="N21" s="176"/>
      <c r="O21" s="176"/>
      <c r="P21" s="176"/>
      <c r="Q21" s="215"/>
      <c r="R21" s="176"/>
      <c r="S21" s="310"/>
      <c r="T21" s="215"/>
      <c r="U21" s="262"/>
      <c r="V21" s="283"/>
      <c r="W21" s="253"/>
    </row>
    <row r="22" spans="1:23" ht="24.95" customHeight="1">
      <c r="A22" s="284"/>
      <c r="B22" s="215"/>
      <c r="C22" s="224"/>
      <c r="D22" s="176"/>
      <c r="E22" s="176"/>
      <c r="F22" s="1059"/>
      <c r="G22" s="215"/>
      <c r="I22" s="215" t="s">
        <v>412</v>
      </c>
      <c r="J22" s="176"/>
      <c r="K22" s="215"/>
      <c r="L22" s="215"/>
      <c r="M22" s="215"/>
      <c r="N22" s="176"/>
      <c r="O22" s="215" t="s">
        <v>341</v>
      </c>
      <c r="P22" s="215"/>
      <c r="Q22" s="215"/>
      <c r="R22" s="215"/>
      <c r="S22" s="215"/>
      <c r="T22" s="215"/>
      <c r="U22" s="215"/>
      <c r="V22" s="215"/>
      <c r="W22" s="253"/>
    </row>
    <row r="23" spans="1:23" ht="24.95" customHeight="1">
      <c r="A23" s="284"/>
      <c r="B23" s="215"/>
      <c r="C23" s="224"/>
      <c r="D23" s="176"/>
      <c r="E23" s="176"/>
      <c r="F23" s="1059"/>
      <c r="G23" s="185"/>
      <c r="H23" s="176"/>
      <c r="I23" s="657"/>
      <c r="J23" s="176"/>
      <c r="K23" s="215"/>
      <c r="L23" s="215"/>
      <c r="M23" s="215"/>
      <c r="N23" s="176"/>
      <c r="P23" s="215"/>
      <c r="Q23" s="215"/>
      <c r="R23" s="215"/>
      <c r="S23" s="215"/>
      <c r="T23" s="176"/>
      <c r="U23" s="176"/>
      <c r="V23" s="176"/>
      <c r="W23" s="253"/>
    </row>
    <row r="24" spans="1:23" ht="24.95" customHeight="1">
      <c r="A24" s="284"/>
      <c r="B24" s="215"/>
      <c r="C24" s="224"/>
      <c r="D24" s="1059"/>
      <c r="E24" s="176"/>
      <c r="F24" s="1059"/>
      <c r="G24" s="185"/>
      <c r="H24" s="176"/>
      <c r="J24" s="1059"/>
      <c r="K24" s="215"/>
      <c r="L24" s="215"/>
      <c r="M24" s="215"/>
      <c r="N24" s="176"/>
      <c r="O24" s="176"/>
      <c r="P24" s="286"/>
      <c r="Q24" s="215"/>
      <c r="R24" s="215"/>
      <c r="S24" s="215"/>
      <c r="T24" s="215"/>
      <c r="U24" s="215"/>
      <c r="V24" s="215"/>
      <c r="W24" s="253"/>
    </row>
    <row r="25" spans="1:23" ht="24.95" customHeight="1">
      <c r="A25" s="284"/>
      <c r="B25" s="215"/>
      <c r="C25" s="224"/>
      <c r="D25" s="224"/>
      <c r="E25" s="224"/>
      <c r="F25" s="1059"/>
      <c r="G25" s="185"/>
      <c r="H25" s="1071"/>
      <c r="I25" s="176"/>
      <c r="J25" s="1059"/>
      <c r="K25" s="215"/>
      <c r="L25" s="215"/>
      <c r="M25" s="215"/>
      <c r="N25" s="176"/>
      <c r="Q25" s="215"/>
      <c r="R25" s="215"/>
      <c r="S25" s="215"/>
      <c r="T25" s="215"/>
      <c r="U25" s="215"/>
      <c r="V25" s="178"/>
      <c r="W25" s="253"/>
    </row>
    <row r="26" spans="1:23" ht="24.95" customHeight="1">
      <c r="A26" s="235"/>
      <c r="B26" s="287"/>
      <c r="C26" s="288"/>
      <c r="D26" s="289"/>
      <c r="E26" s="289"/>
      <c r="F26" s="289"/>
      <c r="G26" s="289"/>
      <c r="H26" s="288"/>
      <c r="I26" s="1072"/>
      <c r="J26" s="1059"/>
      <c r="K26" s="287"/>
      <c r="L26" s="288"/>
      <c r="M26" s="289"/>
      <c r="N26" s="176"/>
      <c r="O26" s="215"/>
      <c r="P26" s="215"/>
      <c r="Q26" s="288"/>
      <c r="R26" s="1072"/>
      <c r="S26" s="1072"/>
      <c r="T26" s="215"/>
      <c r="U26" s="215"/>
      <c r="V26" s="215"/>
      <c r="W26" s="253"/>
    </row>
    <row r="27" spans="1:23" ht="24.95" customHeight="1">
      <c r="A27" s="235"/>
      <c r="B27" s="1060"/>
      <c r="C27" s="1060"/>
      <c r="D27" s="1060"/>
      <c r="E27" s="1060"/>
      <c r="F27" s="1060"/>
      <c r="G27" s="1060"/>
      <c r="H27" s="1060"/>
      <c r="I27" s="1060"/>
      <c r="J27" s="178"/>
      <c r="K27" s="1060"/>
      <c r="L27" s="1060"/>
      <c r="M27" s="1060"/>
      <c r="N27" s="1060"/>
      <c r="O27" s="176"/>
      <c r="P27" s="1060"/>
      <c r="Q27" s="1060"/>
      <c r="R27" s="2011"/>
      <c r="S27" s="2011"/>
      <c r="T27" s="2011"/>
      <c r="U27" s="215"/>
      <c r="V27" s="215"/>
      <c r="W27" s="253"/>
    </row>
    <row r="28" spans="1:23" ht="24.95" customHeight="1">
      <c r="A28" s="235"/>
      <c r="B28" s="291"/>
      <c r="C28" s="292" t="s">
        <v>1010</v>
      </c>
      <c r="D28" s="293"/>
      <c r="E28" s="293"/>
      <c r="F28" s="294"/>
      <c r="G28" s="293"/>
      <c r="H28" s="1073"/>
      <c r="I28" s="296"/>
      <c r="J28" s="185"/>
      <c r="K28" s="297"/>
      <c r="L28" s="294"/>
      <c r="M28" s="298"/>
      <c r="N28" s="293"/>
      <c r="O28" s="294"/>
      <c r="P28" s="293"/>
      <c r="Q28" s="228"/>
      <c r="R28" s="294"/>
      <c r="S28" s="294"/>
      <c r="T28" s="294"/>
      <c r="U28" s="294"/>
      <c r="V28" s="294"/>
      <c r="W28" s="253"/>
    </row>
    <row r="29" spans="1:23" ht="24.95" customHeight="1">
      <c r="A29" s="235"/>
      <c r="B29" s="297"/>
      <c r="C29" s="292" t="s">
        <v>1008</v>
      </c>
      <c r="D29" s="293"/>
      <c r="E29" s="293"/>
      <c r="F29" s="294"/>
      <c r="G29" s="293"/>
      <c r="H29" s="1073"/>
      <c r="I29" s="296"/>
      <c r="J29" s="185"/>
      <c r="K29" s="297"/>
      <c r="L29" s="299"/>
      <c r="M29" s="293"/>
      <c r="N29" s="293"/>
      <c r="O29" s="294"/>
      <c r="P29" s="293"/>
      <c r="Q29" s="300"/>
      <c r="R29" s="300"/>
      <c r="S29" s="300"/>
      <c r="T29" s="294"/>
      <c r="U29" s="294"/>
      <c r="V29" s="294"/>
      <c r="W29" s="253"/>
    </row>
    <row r="30" spans="1:23" ht="24.95" customHeight="1">
      <c r="A30" s="235"/>
      <c r="B30" s="297"/>
      <c r="C30" s="176"/>
      <c r="D30" s="293"/>
      <c r="E30" s="293"/>
      <c r="F30" s="294"/>
      <c r="G30" s="293"/>
      <c r="H30" s="1073"/>
      <c r="I30" s="293"/>
      <c r="J30" s="301"/>
      <c r="K30" s="1059"/>
      <c r="L30" s="1059"/>
      <c r="M30" s="298"/>
      <c r="N30" s="302" t="s">
        <v>15</v>
      </c>
      <c r="O30" s="303" t="s">
        <v>346</v>
      </c>
      <c r="P30" s="304"/>
      <c r="Q30" s="305"/>
      <c r="R30" s="305"/>
      <c r="S30" s="211"/>
      <c r="T30" s="211"/>
      <c r="U30" s="211"/>
      <c r="V30" s="211"/>
      <c r="W30" s="209"/>
    </row>
    <row r="31" spans="1:23" ht="24.95" customHeight="1">
      <c r="A31" s="235"/>
      <c r="B31" s="306" t="s">
        <v>15</v>
      </c>
      <c r="C31" s="176"/>
      <c r="D31" s="293"/>
      <c r="E31" s="293"/>
      <c r="F31" s="294"/>
      <c r="G31" s="293"/>
      <c r="H31" s="1073"/>
      <c r="I31" s="293"/>
      <c r="J31" s="301"/>
      <c r="K31" s="1059"/>
      <c r="L31" s="1059"/>
      <c r="M31" s="298"/>
      <c r="N31" s="303"/>
      <c r="O31" s="307" t="s">
        <v>347</v>
      </c>
      <c r="P31" s="304"/>
      <c r="Q31" s="305"/>
      <c r="R31" s="305"/>
      <c r="S31" s="211"/>
      <c r="T31" s="211"/>
      <c r="U31" s="211"/>
      <c r="V31" s="211"/>
      <c r="W31" s="209"/>
    </row>
    <row r="32" spans="1:23" ht="24.95" customHeight="1" thickBot="1">
      <c r="A32" s="235"/>
      <c r="B32" s="308" t="s">
        <v>967</v>
      </c>
      <c r="C32" s="176"/>
      <c r="D32" s="298"/>
      <c r="E32" s="293"/>
      <c r="F32" s="294"/>
      <c r="G32" s="293"/>
      <c r="H32" s="1073"/>
      <c r="I32" s="293"/>
      <c r="J32" s="178"/>
      <c r="K32" s="1059"/>
      <c r="L32" s="1059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5"/>
    </row>
    <row r="33" spans="1:23" ht="24.95" customHeight="1">
      <c r="A33" s="235"/>
      <c r="B33" s="308" t="s">
        <v>348</v>
      </c>
      <c r="C33" s="176"/>
      <c r="D33" s="298"/>
      <c r="E33" s="293"/>
      <c r="F33" s="294"/>
      <c r="G33" s="293"/>
      <c r="H33" s="1073"/>
      <c r="I33" s="293"/>
      <c r="J33" s="178"/>
      <c r="K33" s="1059"/>
      <c r="L33" s="1059"/>
      <c r="M33" s="1983" t="s">
        <v>331</v>
      </c>
      <c r="N33" s="1984"/>
      <c r="O33" s="1984"/>
      <c r="P33" s="1984"/>
      <c r="Q33" s="1984"/>
      <c r="R33" s="1984"/>
      <c r="S33" s="1984"/>
      <c r="T33" s="1984"/>
      <c r="U33" s="1984"/>
      <c r="V33" s="1984"/>
      <c r="W33" s="1985"/>
    </row>
    <row r="34" spans="1:23" ht="24.95" customHeight="1" thickBot="1">
      <c r="A34" s="235"/>
      <c r="B34" s="308" t="s">
        <v>349</v>
      </c>
      <c r="C34" s="176"/>
      <c r="D34" s="296"/>
      <c r="E34" s="296"/>
      <c r="F34" s="294"/>
      <c r="G34" s="296"/>
      <c r="H34" s="1073"/>
      <c r="I34" s="296"/>
      <c r="J34" s="178"/>
      <c r="K34" s="293"/>
      <c r="L34" s="309"/>
      <c r="M34" s="1986"/>
      <c r="N34" s="1987"/>
      <c r="O34" s="1987"/>
      <c r="P34" s="1987"/>
      <c r="Q34" s="1987"/>
      <c r="R34" s="1987"/>
      <c r="S34" s="1987"/>
      <c r="T34" s="1987"/>
      <c r="U34" s="1987"/>
      <c r="V34" s="1987"/>
      <c r="W34" s="1988"/>
    </row>
    <row r="35" spans="1:23" ht="24.95" customHeight="1">
      <c r="A35" s="235"/>
      <c r="B35" s="308" t="s">
        <v>350</v>
      </c>
      <c r="C35" s="176"/>
      <c r="D35" s="298"/>
      <c r="E35" s="293"/>
      <c r="F35" s="294"/>
      <c r="G35" s="293"/>
      <c r="H35" s="1073"/>
      <c r="I35" s="296"/>
      <c r="J35" s="178"/>
      <c r="K35" s="293"/>
      <c r="L35" s="309"/>
      <c r="M35" s="1950" t="e">
        <f>#REF!</f>
        <v>#REF!</v>
      </c>
      <c r="N35" s="1951"/>
      <c r="O35" s="1951"/>
      <c r="P35" s="1951"/>
      <c r="Q35" s="1952"/>
      <c r="R35" s="2008" t="s">
        <v>1013</v>
      </c>
      <c r="S35" s="2009"/>
      <c r="T35" s="607"/>
      <c r="U35" s="651" t="s">
        <v>332</v>
      </c>
      <c r="V35" s="215" t="s">
        <v>289</v>
      </c>
      <c r="W35" s="253"/>
    </row>
    <row r="36" spans="1:23" ht="24.95" customHeight="1">
      <c r="A36" s="235"/>
      <c r="B36" s="308" t="s">
        <v>351</v>
      </c>
      <c r="C36" s="176"/>
      <c r="D36" s="294"/>
      <c r="E36" s="294"/>
      <c r="F36" s="294"/>
      <c r="G36" s="298"/>
      <c r="H36" s="228"/>
      <c r="I36" s="294"/>
      <c r="J36" s="178"/>
      <c r="K36" s="293"/>
      <c r="L36" s="298"/>
      <c r="M36" s="1950" t="e">
        <f>#REF!</f>
        <v>#REF!</v>
      </c>
      <c r="N36" s="1951"/>
      <c r="O36" s="1951"/>
      <c r="P36" s="1951"/>
      <c r="Q36" s="1952"/>
      <c r="R36" s="1948" t="s">
        <v>413</v>
      </c>
      <c r="S36" s="1949"/>
      <c r="T36" s="231"/>
      <c r="U36" s="651" t="s">
        <v>333</v>
      </c>
      <c r="V36" s="657"/>
      <c r="W36" s="658"/>
    </row>
    <row r="37" spans="1:23" ht="24.95" customHeight="1">
      <c r="A37" s="235"/>
      <c r="B37" s="167" t="s">
        <v>1015</v>
      </c>
      <c r="C37" s="176"/>
      <c r="D37" s="294"/>
      <c r="E37" s="294"/>
      <c r="F37" s="294"/>
      <c r="G37" s="298"/>
      <c r="H37" s="228"/>
      <c r="I37" s="294"/>
      <c r="J37" s="178"/>
      <c r="K37" s="298"/>
      <c r="L37" s="298"/>
      <c r="M37" s="1995" t="e">
        <f>#REF!</f>
        <v>#REF!</v>
      </c>
      <c r="N37" s="1996"/>
      <c r="O37" s="1996"/>
      <c r="P37" s="1996"/>
      <c r="Q37" s="1955"/>
      <c r="R37" s="1948" t="s">
        <v>1021</v>
      </c>
      <c r="S37" s="1949"/>
      <c r="T37" s="231"/>
      <c r="U37" s="651" t="s">
        <v>1020</v>
      </c>
      <c r="V37" s="1061"/>
      <c r="W37" s="652" t="s">
        <v>334</v>
      </c>
    </row>
    <row r="38" spans="1:23" ht="24.95" customHeight="1">
      <c r="A38" s="235"/>
      <c r="B38" s="674" t="s">
        <v>1016</v>
      </c>
      <c r="C38" s="176"/>
      <c r="D38" s="294"/>
      <c r="E38" s="294"/>
      <c r="F38" s="294"/>
      <c r="G38" s="298"/>
      <c r="H38" s="228"/>
      <c r="I38" s="294"/>
      <c r="J38" s="178"/>
      <c r="K38" s="298"/>
      <c r="L38" s="298"/>
      <c r="M38" s="1080" t="s">
        <v>335</v>
      </c>
      <c r="N38" s="1081"/>
      <c r="O38" s="1081"/>
      <c r="P38" s="1081"/>
      <c r="Q38" s="1081"/>
      <c r="R38" s="1948" t="s">
        <v>413</v>
      </c>
      <c r="S38" s="1949"/>
      <c r="T38" s="231"/>
      <c r="U38" s="651" t="s">
        <v>491</v>
      </c>
      <c r="V38" s="1081"/>
      <c r="W38" s="1022"/>
    </row>
    <row r="39" spans="1:23" ht="24.95" customHeight="1">
      <c r="A39" s="235"/>
      <c r="C39" s="176"/>
      <c r="D39" s="294"/>
      <c r="E39" s="294"/>
      <c r="F39" s="294"/>
      <c r="G39" s="298"/>
      <c r="H39" s="228"/>
      <c r="I39" s="294"/>
      <c r="J39" s="178"/>
      <c r="K39" s="298"/>
      <c r="L39" s="298"/>
      <c r="M39" s="1950" t="s">
        <v>1009</v>
      </c>
      <c r="N39" s="1951"/>
      <c r="O39" s="1951"/>
      <c r="P39" s="1951"/>
      <c r="Q39" s="1952"/>
      <c r="R39" s="1948" t="s">
        <v>414</v>
      </c>
      <c r="S39" s="1949"/>
      <c r="T39" s="237"/>
      <c r="U39" s="651" t="s">
        <v>276</v>
      </c>
      <c r="V39" s="654" t="s">
        <v>336</v>
      </c>
      <c r="W39" s="1022"/>
    </row>
    <row r="40" spans="1:23" ht="24.95" customHeight="1">
      <c r="A40" s="235"/>
      <c r="B40" s="297"/>
      <c r="C40" s="176"/>
      <c r="D40" s="298"/>
      <c r="E40" s="293"/>
      <c r="F40" s="294"/>
      <c r="G40" s="293"/>
      <c r="H40" s="228"/>
      <c r="I40" s="294"/>
      <c r="J40" s="178"/>
      <c r="K40" s="310"/>
      <c r="L40" s="1058"/>
      <c r="M40" s="1082"/>
      <c r="N40" s="1083"/>
      <c r="O40" s="1083"/>
      <c r="P40" s="1083"/>
      <c r="Q40" s="1084"/>
      <c r="R40" s="1948" t="s">
        <v>290</v>
      </c>
      <c r="S40" s="1949"/>
      <c r="T40" s="238"/>
      <c r="U40" s="651" t="s">
        <v>337</v>
      </c>
      <c r="V40" s="661"/>
      <c r="W40" s="253"/>
    </row>
    <row r="41" spans="1:23" ht="24.95" customHeight="1" thickBot="1">
      <c r="A41" s="240"/>
      <c r="B41" s="311"/>
      <c r="C41" s="312"/>
      <c r="D41" s="313"/>
      <c r="E41" s="314"/>
      <c r="F41" s="312"/>
      <c r="G41" s="314"/>
      <c r="H41" s="315"/>
      <c r="I41" s="312"/>
      <c r="J41" s="190"/>
      <c r="K41" s="241"/>
      <c r="L41" s="190"/>
      <c r="M41" s="1962" t="e">
        <f>#REF!</f>
        <v>#REF!</v>
      </c>
      <c r="N41" s="1980"/>
      <c r="O41" s="1964" t="s">
        <v>1014</v>
      </c>
      <c r="P41" s="1965"/>
      <c r="Q41" s="1966"/>
      <c r="R41" s="1964" t="e">
        <f>#REF!</f>
        <v>#REF!</v>
      </c>
      <c r="S41" s="1966"/>
      <c r="T41" s="1970">
        <f>'[8]6.แบบ Pavement  (2)'!T81:U81</f>
        <v>41823</v>
      </c>
      <c r="U41" s="1971"/>
      <c r="V41" s="662"/>
      <c r="W41" s="653" t="s">
        <v>338</v>
      </c>
    </row>
    <row r="42" spans="1:23" ht="24.9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23" ht="24.9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23" ht="24.9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23" ht="24.9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23" ht="24.9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23" ht="24.9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23" ht="24.9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1:23" ht="24.9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:23" ht="24.9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3" ht="24.9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3" ht="24.9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3" ht="24.9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 ht="24.9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 ht="24.9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ht="24.9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23" ht="24.9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ht="24.9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23" ht="24.9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3" ht="24.9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3" ht="24.9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3" ht="24.9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3" ht="24.9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3" ht="24.9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ht="24.9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24.9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24.9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ht="24.9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ht="24.9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24.9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ht="24.9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24.9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24.9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24.9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24.9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ht="24.9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ht="24.9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ht="24.9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24.9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24.9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23" ht="24.9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23" ht="24.9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23" ht="24.9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</sheetData>
  <mergeCells count="24">
    <mergeCell ref="J10:K10"/>
    <mergeCell ref="H11:I11"/>
    <mergeCell ref="Q13:Q14"/>
    <mergeCell ref="R27:T27"/>
    <mergeCell ref="M33:W34"/>
    <mergeCell ref="A1:W2"/>
    <mergeCell ref="A3:W4"/>
    <mergeCell ref="K5:N5"/>
    <mergeCell ref="A6:W7"/>
    <mergeCell ref="J8:K8"/>
    <mergeCell ref="M35:Q35"/>
    <mergeCell ref="R35:S35"/>
    <mergeCell ref="M36:Q36"/>
    <mergeCell ref="R36:S36"/>
    <mergeCell ref="M37:Q37"/>
    <mergeCell ref="R37:S37"/>
    <mergeCell ref="R38:S38"/>
    <mergeCell ref="T41:U41"/>
    <mergeCell ref="R39:S39"/>
    <mergeCell ref="R40:S40"/>
    <mergeCell ref="M41:N41"/>
    <mergeCell ref="O41:Q41"/>
    <mergeCell ref="R41:S41"/>
    <mergeCell ref="M39:Q39"/>
  </mergeCells>
  <printOptions horizontalCentered="1"/>
  <pageMargins left="0.19685039370078741" right="0.19685039370078741" top="0.59055118110236227" bottom="0.19685039370078741" header="0.31496062992125984" footer="0.11811023622047245"/>
  <pageSetup paperSize="8" scale="75" orientation="landscape" horizontalDpi="4294967293" verticalDpi="4294967293" r:id="rId1"/>
  <rowBreaks count="1" manualBreakCount="1">
    <brk id="41" max="2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U208"/>
  <sheetViews>
    <sheetView workbookViewId="0">
      <selection activeCell="D20" sqref="D20"/>
    </sheetView>
  </sheetViews>
  <sheetFormatPr defaultColWidth="9.140625" defaultRowHeight="21"/>
  <cols>
    <col min="1" max="26" width="9.140625" style="1"/>
    <col min="27" max="27" width="9.140625" style="80"/>
    <col min="28" max="33" width="9.140625" style="1"/>
    <col min="34" max="34" width="9.28515625" style="1" bestFit="1" customWidth="1"/>
    <col min="35" max="16384" width="9.140625" style="1"/>
  </cols>
  <sheetData>
    <row r="1" spans="1:47" ht="24" thickBot="1">
      <c r="A1" s="103" t="s">
        <v>504</v>
      </c>
      <c r="B1" s="103"/>
      <c r="C1" s="103"/>
      <c r="D1" s="10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W1" s="2"/>
      <c r="X1" s="2"/>
      <c r="Y1" s="103" t="s">
        <v>503</v>
      </c>
      <c r="Z1" s="103"/>
      <c r="AA1" s="103"/>
      <c r="AB1" s="103"/>
      <c r="AC1" s="103"/>
      <c r="AD1" s="627"/>
      <c r="AE1" s="2"/>
      <c r="AF1" s="2"/>
      <c r="AQ1" s="2"/>
      <c r="AR1" s="2"/>
      <c r="AS1" s="2"/>
      <c r="AT1" s="2"/>
    </row>
    <row r="2" spans="1:47">
      <c r="A2" s="64" t="s">
        <v>54</v>
      </c>
      <c r="B2" s="65" t="s">
        <v>54</v>
      </c>
      <c r="C2" s="65" t="s">
        <v>54</v>
      </c>
      <c r="D2" s="66" t="s">
        <v>54</v>
      </c>
      <c r="E2" s="65" t="s">
        <v>54</v>
      </c>
      <c r="F2" s="153" t="s">
        <v>54</v>
      </c>
      <c r="G2" s="153" t="s">
        <v>54</v>
      </c>
      <c r="H2" s="153" t="s">
        <v>54</v>
      </c>
      <c r="I2" s="153" t="s">
        <v>54</v>
      </c>
      <c r="J2" s="153" t="s">
        <v>54</v>
      </c>
      <c r="K2" s="153" t="s">
        <v>54</v>
      </c>
      <c r="L2" s="153" t="s">
        <v>54</v>
      </c>
      <c r="M2" s="76" t="s">
        <v>54</v>
      </c>
      <c r="N2" s="76" t="s">
        <v>54</v>
      </c>
      <c r="O2" s="76" t="s">
        <v>54</v>
      </c>
      <c r="P2" s="76" t="s">
        <v>54</v>
      </c>
      <c r="Q2" s="76" t="s">
        <v>54</v>
      </c>
      <c r="R2" s="151" t="s">
        <v>54</v>
      </c>
      <c r="S2" s="151" t="s">
        <v>54</v>
      </c>
      <c r="T2" s="151" t="s">
        <v>54</v>
      </c>
      <c r="U2" s="151" t="s">
        <v>54</v>
      </c>
      <c r="V2" s="151" t="s">
        <v>54</v>
      </c>
      <c r="W2" s="151" t="s">
        <v>54</v>
      </c>
      <c r="X2" s="60" t="s">
        <v>4</v>
      </c>
      <c r="Y2" s="64" t="s">
        <v>54</v>
      </c>
      <c r="Z2" s="65" t="s">
        <v>54</v>
      </c>
      <c r="AA2" s="76" t="s">
        <v>54</v>
      </c>
      <c r="AB2" s="66" t="s">
        <v>54</v>
      </c>
      <c r="AC2" s="66" t="s">
        <v>54</v>
      </c>
      <c r="AD2" s="153" t="s">
        <v>54</v>
      </c>
      <c r="AE2" s="153" t="s">
        <v>54</v>
      </c>
      <c r="AF2" s="153" t="s">
        <v>54</v>
      </c>
      <c r="AG2" s="153" t="s">
        <v>54</v>
      </c>
      <c r="AH2" s="153" t="s">
        <v>54</v>
      </c>
      <c r="AI2" s="153" t="s">
        <v>54</v>
      </c>
      <c r="AJ2" s="153" t="s">
        <v>54</v>
      </c>
      <c r="AK2" s="76" t="s">
        <v>54</v>
      </c>
      <c r="AL2" s="76" t="s">
        <v>54</v>
      </c>
      <c r="AM2" s="76" t="s">
        <v>54</v>
      </c>
      <c r="AN2" s="76" t="s">
        <v>54</v>
      </c>
      <c r="AO2" s="76" t="s">
        <v>54</v>
      </c>
      <c r="AP2" s="151" t="s">
        <v>54</v>
      </c>
      <c r="AQ2" s="151" t="s">
        <v>54</v>
      </c>
      <c r="AR2" s="151" t="s">
        <v>54</v>
      </c>
      <c r="AS2" s="151" t="s">
        <v>54</v>
      </c>
      <c r="AT2" s="151" t="s">
        <v>54</v>
      </c>
      <c r="AU2" s="151" t="s">
        <v>54</v>
      </c>
    </row>
    <row r="3" spans="1:47" ht="21.75" thickBot="1">
      <c r="A3" s="67" t="s">
        <v>7</v>
      </c>
      <c r="B3" s="68" t="s">
        <v>7</v>
      </c>
      <c r="C3" s="68" t="s">
        <v>7</v>
      </c>
      <c r="D3" s="69" t="s">
        <v>7</v>
      </c>
      <c r="E3" s="68" t="s">
        <v>7</v>
      </c>
      <c r="F3" s="154" t="s">
        <v>7</v>
      </c>
      <c r="G3" s="154" t="s">
        <v>7</v>
      </c>
      <c r="H3" s="154" t="s">
        <v>7</v>
      </c>
      <c r="I3" s="154" t="s">
        <v>7</v>
      </c>
      <c r="J3" s="154" t="s">
        <v>7</v>
      </c>
      <c r="K3" s="154" t="s">
        <v>7</v>
      </c>
      <c r="L3" s="154" t="s">
        <v>7</v>
      </c>
      <c r="M3" s="77" t="s">
        <v>7</v>
      </c>
      <c r="N3" s="77" t="s">
        <v>7</v>
      </c>
      <c r="O3" s="77" t="s">
        <v>7</v>
      </c>
      <c r="P3" s="77" t="s">
        <v>7</v>
      </c>
      <c r="Q3" s="77" t="s">
        <v>7</v>
      </c>
      <c r="R3" s="152" t="s">
        <v>7</v>
      </c>
      <c r="S3" s="152" t="s">
        <v>7</v>
      </c>
      <c r="T3" s="152" t="s">
        <v>7</v>
      </c>
      <c r="U3" s="152" t="s">
        <v>7</v>
      </c>
      <c r="V3" s="152" t="s">
        <v>7</v>
      </c>
      <c r="W3" s="152" t="s">
        <v>7</v>
      </c>
      <c r="X3" s="61" t="s">
        <v>37</v>
      </c>
      <c r="Y3" s="67" t="s">
        <v>7</v>
      </c>
      <c r="Z3" s="68" t="s">
        <v>7</v>
      </c>
      <c r="AA3" s="77" t="s">
        <v>7</v>
      </c>
      <c r="AB3" s="69" t="s">
        <v>7</v>
      </c>
      <c r="AC3" s="69" t="s">
        <v>7</v>
      </c>
      <c r="AD3" s="154" t="s">
        <v>7</v>
      </c>
      <c r="AE3" s="154" t="s">
        <v>7</v>
      </c>
      <c r="AF3" s="154" t="s">
        <v>7</v>
      </c>
      <c r="AG3" s="154" t="s">
        <v>7</v>
      </c>
      <c r="AH3" s="154" t="s">
        <v>7</v>
      </c>
      <c r="AI3" s="154" t="s">
        <v>7</v>
      </c>
      <c r="AJ3" s="154" t="s">
        <v>7</v>
      </c>
      <c r="AK3" s="77" t="s">
        <v>7</v>
      </c>
      <c r="AL3" s="77" t="s">
        <v>7</v>
      </c>
      <c r="AM3" s="77" t="s">
        <v>7</v>
      </c>
      <c r="AN3" s="77" t="s">
        <v>7</v>
      </c>
      <c r="AO3" s="77" t="s">
        <v>7</v>
      </c>
      <c r="AP3" s="152" t="s">
        <v>7</v>
      </c>
      <c r="AQ3" s="152" t="s">
        <v>7</v>
      </c>
      <c r="AR3" s="152" t="s">
        <v>7</v>
      </c>
      <c r="AS3" s="152" t="s">
        <v>7</v>
      </c>
      <c r="AT3" s="152" t="s">
        <v>7</v>
      </c>
      <c r="AU3" s="152" t="s">
        <v>7</v>
      </c>
    </row>
    <row r="4" spans="1:47" ht="21.75" thickBot="1">
      <c r="A4" s="1254">
        <v>22.5</v>
      </c>
      <c r="B4" s="1255">
        <v>23.5</v>
      </c>
      <c r="C4" s="1256">
        <v>24.5</v>
      </c>
      <c r="D4" s="1257">
        <v>25.5</v>
      </c>
      <c r="E4" s="1257">
        <v>26.5</v>
      </c>
      <c r="F4" s="1257">
        <v>27.5</v>
      </c>
      <c r="G4" s="1257">
        <v>28.5</v>
      </c>
      <c r="H4" s="1258">
        <v>29.5</v>
      </c>
      <c r="I4" s="1259">
        <v>30.5</v>
      </c>
      <c r="J4" s="1260">
        <v>31.5</v>
      </c>
      <c r="K4" s="1257">
        <v>32.5</v>
      </c>
      <c r="L4" s="1257">
        <v>33.5</v>
      </c>
      <c r="M4" s="1257">
        <v>34.5</v>
      </c>
      <c r="N4" s="1257">
        <v>35.5</v>
      </c>
      <c r="O4" s="1256">
        <v>36.5</v>
      </c>
      <c r="P4" s="1256">
        <v>37.5</v>
      </c>
      <c r="Q4" s="1256">
        <v>38.5</v>
      </c>
      <c r="R4" s="1256">
        <v>39.5</v>
      </c>
      <c r="S4" s="1256">
        <v>21.5</v>
      </c>
      <c r="T4" s="1256">
        <v>20.5</v>
      </c>
      <c r="U4" s="1256">
        <v>19.5</v>
      </c>
      <c r="V4" s="1256">
        <v>18.5</v>
      </c>
      <c r="W4" s="1256">
        <v>17.5</v>
      </c>
      <c r="X4" s="1261"/>
      <c r="Y4" s="1254">
        <v>22.5</v>
      </c>
      <c r="Z4" s="1255">
        <v>23.5</v>
      </c>
      <c r="AA4" s="1256">
        <v>24.5</v>
      </c>
      <c r="AB4" s="1260">
        <v>25.5</v>
      </c>
      <c r="AC4" s="1257">
        <v>26.5</v>
      </c>
      <c r="AD4" s="1257">
        <v>27.5</v>
      </c>
      <c r="AE4" s="1257">
        <v>28.5</v>
      </c>
      <c r="AF4" s="1258">
        <v>29.5</v>
      </c>
      <c r="AG4" s="1259">
        <v>30.5</v>
      </c>
      <c r="AH4" s="1260">
        <v>31.5</v>
      </c>
      <c r="AI4" s="1260">
        <v>32.5</v>
      </c>
      <c r="AJ4" s="1260">
        <v>33.5</v>
      </c>
      <c r="AK4" s="1260">
        <v>34.5</v>
      </c>
      <c r="AL4" s="1260">
        <v>35.5</v>
      </c>
      <c r="AM4" s="1255">
        <v>36.5</v>
      </c>
      <c r="AN4" s="1255">
        <v>37.5</v>
      </c>
      <c r="AO4" s="1255">
        <v>38.5</v>
      </c>
      <c r="AP4" s="1255">
        <v>39.5</v>
      </c>
      <c r="AQ4" s="1255">
        <v>21.5</v>
      </c>
      <c r="AR4" s="1255">
        <v>20.5</v>
      </c>
      <c r="AS4" s="1255">
        <v>19.5</v>
      </c>
      <c r="AT4" s="1255">
        <v>18.5</v>
      </c>
      <c r="AU4" s="1255">
        <v>17.5</v>
      </c>
    </row>
    <row r="5" spans="1:47">
      <c r="A5" s="1262">
        <v>7.85</v>
      </c>
      <c r="B5" s="1263">
        <v>7.89</v>
      </c>
      <c r="C5" s="1264">
        <v>7.92</v>
      </c>
      <c r="D5" s="1265">
        <v>7.96</v>
      </c>
      <c r="E5" s="1266">
        <v>7.99</v>
      </c>
      <c r="F5" s="1266">
        <v>8.0299999999999994</v>
      </c>
      <c r="G5" s="1266">
        <v>8.07</v>
      </c>
      <c r="H5" s="1267">
        <v>8.1</v>
      </c>
      <c r="I5" s="1268">
        <v>8.14</v>
      </c>
      <c r="J5" s="1268">
        <v>8.18</v>
      </c>
      <c r="K5" s="1268">
        <v>8.2100000000000009</v>
      </c>
      <c r="L5" s="1268">
        <v>8.25</v>
      </c>
      <c r="M5" s="1268">
        <v>8.2899999999999991</v>
      </c>
      <c r="N5" s="1268">
        <v>8.32</v>
      </c>
      <c r="O5" s="1269">
        <v>8.36</v>
      </c>
      <c r="P5" s="1269">
        <v>8.39</v>
      </c>
      <c r="Q5" s="1269">
        <v>8.43</v>
      </c>
      <c r="R5" s="1269">
        <v>5.47</v>
      </c>
      <c r="S5" s="1269">
        <v>7.81</v>
      </c>
      <c r="T5" s="1269">
        <v>7.78</v>
      </c>
      <c r="U5" s="1269">
        <v>4.8899999999999997</v>
      </c>
      <c r="V5" s="1269">
        <v>4.8499999999999996</v>
      </c>
      <c r="W5" s="1269">
        <v>4.8099999999999996</v>
      </c>
      <c r="X5" s="78">
        <v>1</v>
      </c>
      <c r="Y5" s="1270">
        <v>4.3</v>
      </c>
      <c r="Z5" s="1271">
        <v>4.32</v>
      </c>
      <c r="AA5" s="1272">
        <v>4.3499999999999996</v>
      </c>
      <c r="AB5" s="1273">
        <v>4.37</v>
      </c>
      <c r="AC5" s="1274">
        <v>4.4000000000000004</v>
      </c>
      <c r="AD5" s="1274">
        <v>4.42</v>
      </c>
      <c r="AE5" s="1275">
        <v>4.45</v>
      </c>
      <c r="AF5" s="1276">
        <v>4.4800000000000004</v>
      </c>
      <c r="AG5" s="1268">
        <v>4.5</v>
      </c>
      <c r="AH5" s="1268">
        <v>4.53</v>
      </c>
      <c r="AI5" s="1268">
        <v>4.55</v>
      </c>
      <c r="AJ5" s="1268">
        <v>4.58</v>
      </c>
      <c r="AK5" s="1268">
        <v>4.5999999999999996</v>
      </c>
      <c r="AL5" s="1268">
        <v>4.63</v>
      </c>
      <c r="AM5" s="1269">
        <v>4.6500000000000004</v>
      </c>
      <c r="AN5" s="1269">
        <v>4.68</v>
      </c>
      <c r="AO5" s="1269">
        <v>4.71</v>
      </c>
      <c r="AP5" s="1269">
        <v>4.7300000000000004</v>
      </c>
      <c r="AQ5" s="1269">
        <v>4.2699999999999996</v>
      </c>
      <c r="AR5" s="1269">
        <v>4.24</v>
      </c>
      <c r="AS5" s="1269">
        <v>2.86</v>
      </c>
      <c r="AT5" s="1269">
        <v>2.83</v>
      </c>
      <c r="AU5" s="1269">
        <v>2.81</v>
      </c>
    </row>
    <row r="6" spans="1:47">
      <c r="A6" s="1277">
        <v>9.39</v>
      </c>
      <c r="B6" s="1278">
        <v>9.56</v>
      </c>
      <c r="C6" s="1279">
        <v>9.5399999999999991</v>
      </c>
      <c r="D6" s="1280">
        <v>9.61</v>
      </c>
      <c r="E6" s="1281">
        <v>9.68</v>
      </c>
      <c r="F6" s="1281">
        <v>9.75</v>
      </c>
      <c r="G6" s="1281">
        <v>9.83</v>
      </c>
      <c r="H6" s="1282">
        <v>9.9</v>
      </c>
      <c r="I6" s="1283">
        <v>9.9700000000000006</v>
      </c>
      <c r="J6" s="1283">
        <v>10.039999999999999</v>
      </c>
      <c r="K6" s="1283">
        <v>10.119999999999999</v>
      </c>
      <c r="L6" s="1283">
        <v>10.19</v>
      </c>
      <c r="M6" s="1283">
        <v>10.26</v>
      </c>
      <c r="N6" s="1283">
        <v>10.34</v>
      </c>
      <c r="O6" s="1284">
        <v>10.41</v>
      </c>
      <c r="P6" s="1284">
        <v>10.48</v>
      </c>
      <c r="Q6" s="1284">
        <v>10.55</v>
      </c>
      <c r="R6" s="1284">
        <v>0.63</v>
      </c>
      <c r="S6" s="1284">
        <v>9.32</v>
      </c>
      <c r="T6" s="1284">
        <v>9.24</v>
      </c>
      <c r="U6" s="1284">
        <v>6.09</v>
      </c>
      <c r="V6" s="1284">
        <v>6.02</v>
      </c>
      <c r="W6" s="1284">
        <v>5.94</v>
      </c>
      <c r="X6" s="78">
        <v>2</v>
      </c>
      <c r="Y6" s="1277">
        <v>5.48</v>
      </c>
      <c r="Z6" s="1278">
        <v>5.53</v>
      </c>
      <c r="AA6" s="1279">
        <v>5.58</v>
      </c>
      <c r="AB6" s="1280">
        <v>5.63</v>
      </c>
      <c r="AC6" s="1281">
        <v>5.68</v>
      </c>
      <c r="AD6" s="1281">
        <v>5.73</v>
      </c>
      <c r="AE6" s="1285">
        <v>5.78</v>
      </c>
      <c r="AF6" s="1282">
        <v>5.84</v>
      </c>
      <c r="AG6" s="1283">
        <v>5.89</v>
      </c>
      <c r="AH6" s="1283">
        <v>5.94</v>
      </c>
      <c r="AI6" s="1283">
        <v>5.99</v>
      </c>
      <c r="AJ6" s="1283">
        <v>6.04</v>
      </c>
      <c r="AK6" s="1283">
        <v>6.09</v>
      </c>
      <c r="AL6" s="1283">
        <v>6.14</v>
      </c>
      <c r="AM6" s="1284">
        <v>6.19</v>
      </c>
      <c r="AN6" s="1284">
        <v>6.25</v>
      </c>
      <c r="AO6" s="1284">
        <v>6.3</v>
      </c>
      <c r="AP6" s="1284">
        <v>6.35</v>
      </c>
      <c r="AQ6" s="1284">
        <v>5.42</v>
      </c>
      <c r="AR6" s="1284">
        <v>5.37</v>
      </c>
      <c r="AS6" s="1284">
        <v>3.77</v>
      </c>
      <c r="AT6" s="1284">
        <v>3.72</v>
      </c>
      <c r="AU6" s="1284">
        <v>3.67</v>
      </c>
    </row>
    <row r="7" spans="1:47">
      <c r="A7" s="1277">
        <v>10.93</v>
      </c>
      <c r="B7" s="1278">
        <v>11.04</v>
      </c>
      <c r="C7" s="1279">
        <v>11.15</v>
      </c>
      <c r="D7" s="1280">
        <v>11.26</v>
      </c>
      <c r="E7" s="1281">
        <v>11.37</v>
      </c>
      <c r="F7" s="1281">
        <v>11.48</v>
      </c>
      <c r="G7" s="1281">
        <v>11.59</v>
      </c>
      <c r="H7" s="1282">
        <v>11.7</v>
      </c>
      <c r="I7" s="1286">
        <v>11.81</v>
      </c>
      <c r="J7" s="1286">
        <v>11.92</v>
      </c>
      <c r="K7" s="1286">
        <v>12.02</v>
      </c>
      <c r="L7" s="1286">
        <v>12.13</v>
      </c>
      <c r="M7" s="1286">
        <v>12.24</v>
      </c>
      <c r="N7" s="1286">
        <v>12.35</v>
      </c>
      <c r="O7" s="1287">
        <v>12.46</v>
      </c>
      <c r="P7" s="1287">
        <v>12.57</v>
      </c>
      <c r="Q7" s="1287">
        <v>12.68</v>
      </c>
      <c r="R7" s="1287">
        <v>12.79</v>
      </c>
      <c r="S7" s="1287">
        <v>10.82</v>
      </c>
      <c r="T7" s="1287">
        <v>10.71</v>
      </c>
      <c r="U7" s="1287">
        <v>7.29</v>
      </c>
      <c r="V7" s="1287">
        <v>7.19</v>
      </c>
      <c r="W7" s="1287">
        <v>7.08</v>
      </c>
      <c r="X7" s="81">
        <v>3</v>
      </c>
      <c r="Y7" s="1277">
        <v>6.65</v>
      </c>
      <c r="Z7" s="1278">
        <v>6.73</v>
      </c>
      <c r="AA7" s="1279">
        <v>6.81</v>
      </c>
      <c r="AB7" s="1280">
        <v>6.89</v>
      </c>
      <c r="AC7" s="1281">
        <v>6.96</v>
      </c>
      <c r="AD7" s="1281">
        <v>7.04</v>
      </c>
      <c r="AE7" s="1285">
        <v>7.12</v>
      </c>
      <c r="AF7" s="1282">
        <v>7.19</v>
      </c>
      <c r="AG7" s="1286">
        <v>7.27</v>
      </c>
      <c r="AH7" s="1286">
        <v>7.35</v>
      </c>
      <c r="AI7" s="1286">
        <v>7.43</v>
      </c>
      <c r="AJ7" s="1286">
        <v>7.5</v>
      </c>
      <c r="AK7" s="1286">
        <v>7.58</v>
      </c>
      <c r="AL7" s="1286">
        <v>7.66</v>
      </c>
      <c r="AM7" s="1287">
        <v>7.73</v>
      </c>
      <c r="AN7" s="1287">
        <v>7.81</v>
      </c>
      <c r="AO7" s="1287">
        <v>7.89</v>
      </c>
      <c r="AP7" s="1287">
        <v>7.97</v>
      </c>
      <c r="AQ7" s="1287">
        <v>6.58</v>
      </c>
      <c r="AR7" s="1287">
        <v>6.5</v>
      </c>
      <c r="AS7" s="1287">
        <v>4.6900000000000004</v>
      </c>
      <c r="AT7" s="1287">
        <v>4.6100000000000003</v>
      </c>
      <c r="AU7" s="1287">
        <v>4.53</v>
      </c>
    </row>
    <row r="8" spans="1:47">
      <c r="A8" s="1277">
        <v>12.47</v>
      </c>
      <c r="B8" s="1278">
        <v>12.62</v>
      </c>
      <c r="C8" s="1279">
        <v>12.77</v>
      </c>
      <c r="D8" s="1280">
        <v>12.91</v>
      </c>
      <c r="E8" s="1281">
        <v>13.06</v>
      </c>
      <c r="F8" s="1281">
        <v>13.2</v>
      </c>
      <c r="G8" s="1281">
        <v>13.35</v>
      </c>
      <c r="H8" s="1282">
        <v>13.49</v>
      </c>
      <c r="I8" s="1288">
        <v>13.64</v>
      </c>
      <c r="J8" s="1288">
        <v>13.78</v>
      </c>
      <c r="K8" s="1288">
        <v>13.93</v>
      </c>
      <c r="L8" s="1288">
        <v>14.08</v>
      </c>
      <c r="M8" s="1288">
        <v>14.22</v>
      </c>
      <c r="N8" s="1288">
        <v>14.37</v>
      </c>
      <c r="O8" s="1289">
        <v>14.51</v>
      </c>
      <c r="P8" s="1289">
        <v>14.66</v>
      </c>
      <c r="Q8" s="1289">
        <v>14.8</v>
      </c>
      <c r="R8" s="1289">
        <v>14.95</v>
      </c>
      <c r="S8" s="1289">
        <v>12.33</v>
      </c>
      <c r="T8" s="1289">
        <v>12.18</v>
      </c>
      <c r="U8" s="1289">
        <v>8.5</v>
      </c>
      <c r="V8" s="1289">
        <v>8.35</v>
      </c>
      <c r="W8" s="1289">
        <v>8.2100000000000009</v>
      </c>
      <c r="X8" s="62">
        <v>4</v>
      </c>
      <c r="Y8" s="1277">
        <v>7.83</v>
      </c>
      <c r="Z8" s="1278">
        <v>7.94</v>
      </c>
      <c r="AA8" s="1279">
        <v>8.0399999999999991</v>
      </c>
      <c r="AB8" s="1280">
        <v>8.14</v>
      </c>
      <c r="AC8" s="1281">
        <v>8.24</v>
      </c>
      <c r="AD8" s="1281">
        <v>8.35</v>
      </c>
      <c r="AE8" s="1285">
        <v>8.4499999999999993</v>
      </c>
      <c r="AF8" s="1282">
        <v>8.5500000000000007</v>
      </c>
      <c r="AG8" s="1288">
        <v>8.66</v>
      </c>
      <c r="AH8" s="1288">
        <v>8.76</v>
      </c>
      <c r="AI8" s="1288">
        <v>8.86</v>
      </c>
      <c r="AJ8" s="1288">
        <v>8.9600000000000009</v>
      </c>
      <c r="AK8" s="1288">
        <v>9.07</v>
      </c>
      <c r="AL8" s="1288">
        <v>9.17</v>
      </c>
      <c r="AM8" s="1289">
        <v>9.27</v>
      </c>
      <c r="AN8" s="1289">
        <v>9.3800000000000008</v>
      </c>
      <c r="AO8" s="1289">
        <v>9.48</v>
      </c>
      <c r="AP8" s="1289">
        <v>9.58</v>
      </c>
      <c r="AQ8" s="1289">
        <v>7.73</v>
      </c>
      <c r="AR8" s="1289">
        <v>7.63</v>
      </c>
      <c r="AS8" s="1289">
        <v>5.6</v>
      </c>
      <c r="AT8" s="1289">
        <v>5.5</v>
      </c>
      <c r="AU8" s="1287">
        <v>5.39</v>
      </c>
    </row>
    <row r="9" spans="1:47">
      <c r="A9" s="1277">
        <v>14.02</v>
      </c>
      <c r="B9" s="1278">
        <v>14.2</v>
      </c>
      <c r="C9" s="1279">
        <v>14.39</v>
      </c>
      <c r="D9" s="1280">
        <v>14.56</v>
      </c>
      <c r="E9" s="1281">
        <v>14.75</v>
      </c>
      <c r="F9" s="1281">
        <v>14.93</v>
      </c>
      <c r="G9" s="1281">
        <v>15.11</v>
      </c>
      <c r="H9" s="1282">
        <v>15.29</v>
      </c>
      <c r="I9" s="1288">
        <v>15.47</v>
      </c>
      <c r="J9" s="1288">
        <v>15.66</v>
      </c>
      <c r="K9" s="1288">
        <v>15.84</v>
      </c>
      <c r="L9" s="1288">
        <v>16.02</v>
      </c>
      <c r="M9" s="1288">
        <v>16.2</v>
      </c>
      <c r="N9" s="1288">
        <v>16.38</v>
      </c>
      <c r="O9" s="1289">
        <v>16.57</v>
      </c>
      <c r="P9" s="1289">
        <v>16.75</v>
      </c>
      <c r="Q9" s="1289">
        <v>16.93</v>
      </c>
      <c r="R9" s="1289">
        <v>17.11</v>
      </c>
      <c r="S9" s="1289">
        <v>13.84</v>
      </c>
      <c r="T9" s="1289">
        <v>13.65</v>
      </c>
      <c r="U9" s="1289">
        <v>9.6999999999999993</v>
      </c>
      <c r="V9" s="1289">
        <v>9.52</v>
      </c>
      <c r="W9" s="1289">
        <v>9.34</v>
      </c>
      <c r="X9" s="62">
        <v>5</v>
      </c>
      <c r="Y9" s="1277">
        <v>9.01</v>
      </c>
      <c r="Z9" s="1278">
        <v>9.14</v>
      </c>
      <c r="AA9" s="1279">
        <v>9.27</v>
      </c>
      <c r="AB9" s="1280">
        <v>9.4</v>
      </c>
      <c r="AC9" s="1281">
        <v>9.5299999999999994</v>
      </c>
      <c r="AD9" s="1281">
        <v>9.65</v>
      </c>
      <c r="AE9" s="1285">
        <v>9.7799999999999994</v>
      </c>
      <c r="AF9" s="1282">
        <v>9.91</v>
      </c>
      <c r="AG9" s="1288">
        <v>10.039999999999999</v>
      </c>
      <c r="AH9" s="1288">
        <v>10.17</v>
      </c>
      <c r="AI9" s="1288">
        <v>10.3</v>
      </c>
      <c r="AJ9" s="1288">
        <v>10.43</v>
      </c>
      <c r="AK9" s="1288">
        <v>10.55</v>
      </c>
      <c r="AL9" s="1288">
        <v>10.68</v>
      </c>
      <c r="AM9" s="1289">
        <v>10.81</v>
      </c>
      <c r="AN9" s="1289">
        <v>10.94</v>
      </c>
      <c r="AO9" s="1289">
        <v>11.07</v>
      </c>
      <c r="AP9" s="1289">
        <v>11.2</v>
      </c>
      <c r="AQ9" s="1289">
        <v>8.8800000000000008</v>
      </c>
      <c r="AR9" s="1289">
        <v>8.75</v>
      </c>
      <c r="AS9" s="1289">
        <v>6.51</v>
      </c>
      <c r="AT9" s="1289">
        <v>6.38</v>
      </c>
      <c r="AU9" s="1287">
        <v>6.26</v>
      </c>
    </row>
    <row r="10" spans="1:47">
      <c r="A10" s="1277">
        <v>15.56</v>
      </c>
      <c r="B10" s="1278">
        <v>15.78</v>
      </c>
      <c r="C10" s="1279">
        <v>16</v>
      </c>
      <c r="D10" s="1280">
        <v>16.21</v>
      </c>
      <c r="E10" s="1281">
        <v>16.43</v>
      </c>
      <c r="F10" s="1281">
        <v>16.649999999999999</v>
      </c>
      <c r="G10" s="1281">
        <v>16.87</v>
      </c>
      <c r="H10" s="1282">
        <v>17.09</v>
      </c>
      <c r="I10" s="1288">
        <v>17.309999999999999</v>
      </c>
      <c r="J10" s="1288">
        <v>17.52</v>
      </c>
      <c r="K10" s="1288">
        <v>17.739999999999998</v>
      </c>
      <c r="L10" s="1288">
        <v>17.96</v>
      </c>
      <c r="M10" s="1288">
        <v>18.18</v>
      </c>
      <c r="N10" s="1288">
        <v>18.399999999999999</v>
      </c>
      <c r="O10" s="1289">
        <v>18.62</v>
      </c>
      <c r="P10" s="1289">
        <v>18.829999999999998</v>
      </c>
      <c r="Q10" s="1289">
        <v>19.05</v>
      </c>
      <c r="R10" s="1289">
        <v>19.27</v>
      </c>
      <c r="S10" s="1289">
        <v>15.34</v>
      </c>
      <c r="T10" s="1289">
        <v>15.12</v>
      </c>
      <c r="U10" s="1289">
        <v>10.91</v>
      </c>
      <c r="V10" s="1289">
        <v>10.69</v>
      </c>
      <c r="W10" s="1289">
        <v>10.47</v>
      </c>
      <c r="X10" s="62">
        <v>6</v>
      </c>
      <c r="Y10" s="1277">
        <v>10.19</v>
      </c>
      <c r="Z10" s="1278">
        <v>10.35</v>
      </c>
      <c r="AA10" s="1279">
        <v>10.5</v>
      </c>
      <c r="AB10" s="1280">
        <v>10.66</v>
      </c>
      <c r="AC10" s="1281">
        <v>10.81</v>
      </c>
      <c r="AD10" s="1281">
        <v>10.96</v>
      </c>
      <c r="AE10" s="1285">
        <v>11.12</v>
      </c>
      <c r="AF10" s="1282">
        <v>11.27</v>
      </c>
      <c r="AG10" s="1288">
        <v>11.43</v>
      </c>
      <c r="AH10" s="1288">
        <v>11.58</v>
      </c>
      <c r="AI10" s="1288">
        <v>11.73</v>
      </c>
      <c r="AJ10" s="1288">
        <v>11.89</v>
      </c>
      <c r="AK10" s="1288">
        <v>12.04</v>
      </c>
      <c r="AL10" s="1288">
        <v>12.2</v>
      </c>
      <c r="AM10" s="1289">
        <v>12.35</v>
      </c>
      <c r="AN10" s="1289">
        <v>12.51</v>
      </c>
      <c r="AO10" s="1289">
        <v>12.66</v>
      </c>
      <c r="AP10" s="1289">
        <v>12.81</v>
      </c>
      <c r="AQ10" s="1289">
        <v>10.039999999999999</v>
      </c>
      <c r="AR10" s="1289">
        <v>9.8800000000000008</v>
      </c>
      <c r="AS10" s="1289">
        <v>7.43</v>
      </c>
      <c r="AT10" s="1289">
        <v>7.27</v>
      </c>
      <c r="AU10" s="1287">
        <v>7.12</v>
      </c>
    </row>
    <row r="11" spans="1:47">
      <c r="A11" s="1277">
        <v>17.100000000000001</v>
      </c>
      <c r="B11" s="1278">
        <v>17.36</v>
      </c>
      <c r="C11" s="1279">
        <v>17.61</v>
      </c>
      <c r="D11" s="1280">
        <v>17.86</v>
      </c>
      <c r="E11" s="1281">
        <v>18.12</v>
      </c>
      <c r="F11" s="1281">
        <v>18.37</v>
      </c>
      <c r="G11" s="1281">
        <v>18.63</v>
      </c>
      <c r="H11" s="1282">
        <v>18.88</v>
      </c>
      <c r="I11" s="1288">
        <v>19.14</v>
      </c>
      <c r="J11" s="1288">
        <v>19.39</v>
      </c>
      <c r="K11" s="1288">
        <v>19.649999999999999</v>
      </c>
      <c r="L11" s="1288">
        <v>19.899999999999999</v>
      </c>
      <c r="M11" s="1288">
        <v>20.16</v>
      </c>
      <c r="N11" s="1288">
        <v>20.41</v>
      </c>
      <c r="O11" s="1289">
        <v>20.67</v>
      </c>
      <c r="P11" s="1289">
        <v>20.92</v>
      </c>
      <c r="Q11" s="1289">
        <v>21.18</v>
      </c>
      <c r="R11" s="1289">
        <v>21.43</v>
      </c>
      <c r="S11" s="1289">
        <v>16.850000000000001</v>
      </c>
      <c r="T11" s="1289">
        <v>16.59</v>
      </c>
      <c r="U11" s="1289">
        <v>12.11</v>
      </c>
      <c r="V11" s="1289">
        <v>11.86</v>
      </c>
      <c r="W11" s="1289">
        <v>11.6</v>
      </c>
      <c r="X11" s="62">
        <v>7</v>
      </c>
      <c r="Y11" s="1277">
        <v>11.37</v>
      </c>
      <c r="Z11" s="1278">
        <v>11.55</v>
      </c>
      <c r="AA11" s="1279">
        <v>11.73</v>
      </c>
      <c r="AB11" s="1280">
        <v>11.91</v>
      </c>
      <c r="AC11" s="1281">
        <v>12.09</v>
      </c>
      <c r="AD11" s="1281">
        <v>12.27</v>
      </c>
      <c r="AE11" s="1285">
        <v>12.45</v>
      </c>
      <c r="AF11" s="1282">
        <v>12.63</v>
      </c>
      <c r="AG11" s="1288">
        <v>12.81</v>
      </c>
      <c r="AH11" s="1288">
        <v>12.99</v>
      </c>
      <c r="AI11" s="1288">
        <v>13.17</v>
      </c>
      <c r="AJ11" s="1288">
        <v>13.35</v>
      </c>
      <c r="AK11" s="1288">
        <v>13.53</v>
      </c>
      <c r="AL11" s="1288">
        <v>13.71</v>
      </c>
      <c r="AM11" s="1289">
        <v>13.89</v>
      </c>
      <c r="AN11" s="1289">
        <v>14.07</v>
      </c>
      <c r="AO11" s="1289">
        <v>14.25</v>
      </c>
      <c r="AP11" s="1289">
        <v>14.43</v>
      </c>
      <c r="AQ11" s="1289">
        <v>11.19</v>
      </c>
      <c r="AR11" s="1289">
        <v>11.01</v>
      </c>
      <c r="AS11" s="1289">
        <v>8.34</v>
      </c>
      <c r="AT11" s="1289">
        <v>8.16</v>
      </c>
      <c r="AU11" s="1287">
        <v>7.98</v>
      </c>
    </row>
    <row r="12" spans="1:47">
      <c r="A12" s="1277">
        <v>18.88</v>
      </c>
      <c r="B12" s="1278">
        <v>9.17</v>
      </c>
      <c r="C12" s="1279">
        <v>19.46</v>
      </c>
      <c r="D12" s="1280">
        <v>19.75</v>
      </c>
      <c r="E12" s="1281">
        <v>20.04</v>
      </c>
      <c r="F12" s="1281">
        <v>20.34</v>
      </c>
      <c r="G12" s="1281">
        <v>20.63</v>
      </c>
      <c r="H12" s="1282">
        <v>20.92</v>
      </c>
      <c r="I12" s="1288">
        <v>21.21</v>
      </c>
      <c r="J12" s="1288">
        <v>21.5</v>
      </c>
      <c r="K12" s="1288">
        <v>21.79</v>
      </c>
      <c r="L12" s="1288">
        <v>22.08</v>
      </c>
      <c r="M12" s="1288">
        <v>22.37</v>
      </c>
      <c r="N12" s="1288">
        <v>22.66</v>
      </c>
      <c r="O12" s="1289">
        <v>22.96</v>
      </c>
      <c r="P12" s="1289">
        <v>23.25</v>
      </c>
      <c r="Q12" s="1289">
        <v>23.54</v>
      </c>
      <c r="R12" s="1289">
        <v>23.83</v>
      </c>
      <c r="S12" s="1289">
        <v>18.59</v>
      </c>
      <c r="T12" s="1289">
        <v>18.3</v>
      </c>
      <c r="U12" s="1289">
        <v>13.46</v>
      </c>
      <c r="V12" s="1289">
        <v>13.16</v>
      </c>
      <c r="W12" s="1289">
        <v>12.87</v>
      </c>
      <c r="X12" s="62">
        <v>8</v>
      </c>
      <c r="Y12" s="1277">
        <v>12.55</v>
      </c>
      <c r="Z12" s="1278">
        <v>12.76</v>
      </c>
      <c r="AA12" s="1279">
        <v>12.96</v>
      </c>
      <c r="AB12" s="1280">
        <v>13.17</v>
      </c>
      <c r="AC12" s="1281">
        <v>13.37</v>
      </c>
      <c r="AD12" s="1281">
        <v>13.58</v>
      </c>
      <c r="AE12" s="1285">
        <v>13.78</v>
      </c>
      <c r="AF12" s="1282">
        <v>13.99</v>
      </c>
      <c r="AG12" s="1288">
        <v>14.2</v>
      </c>
      <c r="AH12" s="1288">
        <v>14.4</v>
      </c>
      <c r="AI12" s="1288">
        <v>14.61</v>
      </c>
      <c r="AJ12" s="1288">
        <v>14.81</v>
      </c>
      <c r="AK12" s="1288">
        <v>15.02</v>
      </c>
      <c r="AL12" s="1288">
        <v>15.22</v>
      </c>
      <c r="AM12" s="1289">
        <v>15.43</v>
      </c>
      <c r="AN12" s="1289">
        <v>15.64</v>
      </c>
      <c r="AO12" s="1289">
        <v>15.84</v>
      </c>
      <c r="AP12" s="1289">
        <v>16.05</v>
      </c>
      <c r="AQ12" s="1289">
        <v>12.35</v>
      </c>
      <c r="AR12" s="1289">
        <v>12.14</v>
      </c>
      <c r="AS12" s="1289">
        <v>9.26</v>
      </c>
      <c r="AT12" s="1289">
        <v>9.0500000000000007</v>
      </c>
      <c r="AU12" s="1287">
        <v>8.84</v>
      </c>
    </row>
    <row r="13" spans="1:47">
      <c r="A13" s="1277">
        <v>21.08</v>
      </c>
      <c r="B13" s="1278">
        <v>21.41</v>
      </c>
      <c r="C13" s="1279">
        <v>21.74</v>
      </c>
      <c r="D13" s="1280">
        <v>22.07</v>
      </c>
      <c r="E13" s="1281">
        <v>22.39</v>
      </c>
      <c r="F13" s="1281">
        <v>22.72</v>
      </c>
      <c r="G13" s="1281">
        <v>23.05</v>
      </c>
      <c r="H13" s="1282">
        <v>23.38</v>
      </c>
      <c r="I13" s="1288">
        <v>23.7</v>
      </c>
      <c r="J13" s="1288">
        <v>24.03</v>
      </c>
      <c r="K13" s="1288">
        <v>24.36</v>
      </c>
      <c r="L13" s="1288">
        <v>24.69</v>
      </c>
      <c r="M13" s="1288">
        <v>25.01</v>
      </c>
      <c r="N13" s="1288">
        <v>25.34</v>
      </c>
      <c r="O13" s="1289">
        <v>25.67</v>
      </c>
      <c r="P13" s="1289">
        <v>26</v>
      </c>
      <c r="Q13" s="1289">
        <v>26.32</v>
      </c>
      <c r="R13" s="1289">
        <v>26.65</v>
      </c>
      <c r="S13" s="1289">
        <v>20.76</v>
      </c>
      <c r="T13" s="1289">
        <v>20.43</v>
      </c>
      <c r="U13" s="1289">
        <v>15.05</v>
      </c>
      <c r="V13" s="1289">
        <v>14.72</v>
      </c>
      <c r="W13" s="1289">
        <v>14.39</v>
      </c>
      <c r="X13" s="62">
        <v>9</v>
      </c>
      <c r="Y13" s="1277">
        <v>13.73</v>
      </c>
      <c r="Z13" s="1278">
        <v>13.96</v>
      </c>
      <c r="AA13" s="1279">
        <v>14.19</v>
      </c>
      <c r="AB13" s="1280">
        <v>14.43</v>
      </c>
      <c r="AC13" s="1281">
        <v>14.66</v>
      </c>
      <c r="AD13" s="1281">
        <v>14.89</v>
      </c>
      <c r="AE13" s="1285">
        <v>15.12</v>
      </c>
      <c r="AF13" s="1282">
        <v>15.35</v>
      </c>
      <c r="AG13" s="1288">
        <v>15.58</v>
      </c>
      <c r="AH13" s="1288">
        <v>15.81</v>
      </c>
      <c r="AI13" s="1288">
        <v>16.04</v>
      </c>
      <c r="AJ13" s="1288">
        <v>16.28</v>
      </c>
      <c r="AK13" s="1288">
        <v>16.510000000000002</v>
      </c>
      <c r="AL13" s="1288">
        <v>16.739999999999998</v>
      </c>
      <c r="AM13" s="1289">
        <v>16.97</v>
      </c>
      <c r="AN13" s="1289">
        <v>17.2</v>
      </c>
      <c r="AO13" s="1289">
        <v>17.43</v>
      </c>
      <c r="AP13" s="1289">
        <v>17.66</v>
      </c>
      <c r="AQ13" s="1289">
        <v>13.5</v>
      </c>
      <c r="AR13" s="1289">
        <v>13.27</v>
      </c>
      <c r="AS13" s="1289">
        <v>10.17</v>
      </c>
      <c r="AT13" s="1289">
        <v>9.94</v>
      </c>
      <c r="AU13" s="1287">
        <v>9.7100000000000009</v>
      </c>
    </row>
    <row r="14" spans="1:47">
      <c r="A14" s="1277">
        <v>23.29</v>
      </c>
      <c r="B14" s="1278">
        <v>23.65</v>
      </c>
      <c r="C14" s="1279">
        <v>24.01</v>
      </c>
      <c r="D14" s="1280">
        <v>24.38</v>
      </c>
      <c r="E14" s="1281">
        <v>24.74</v>
      </c>
      <c r="F14" s="1281">
        <v>25.11</v>
      </c>
      <c r="G14" s="1281">
        <v>25.47</v>
      </c>
      <c r="H14" s="1282">
        <v>25.83</v>
      </c>
      <c r="I14" s="1288">
        <v>26.2</v>
      </c>
      <c r="J14" s="1288">
        <v>26.56</v>
      </c>
      <c r="K14" s="1288">
        <v>26.93</v>
      </c>
      <c r="L14" s="1288">
        <v>27.29</v>
      </c>
      <c r="M14" s="1288">
        <v>27.65</v>
      </c>
      <c r="N14" s="1288">
        <v>28.02</v>
      </c>
      <c r="O14" s="1289">
        <v>28.38</v>
      </c>
      <c r="P14" s="1289">
        <v>28.75</v>
      </c>
      <c r="Q14" s="1289">
        <v>29.11</v>
      </c>
      <c r="R14" s="1289">
        <v>29.47</v>
      </c>
      <c r="S14" s="1289">
        <v>22.92</v>
      </c>
      <c r="T14" s="1289">
        <v>22.56</v>
      </c>
      <c r="U14" s="1289">
        <v>16.64</v>
      </c>
      <c r="V14" s="1289">
        <v>16.27</v>
      </c>
      <c r="W14" s="1289">
        <v>15.91</v>
      </c>
      <c r="X14" s="62">
        <v>10</v>
      </c>
      <c r="Y14" s="1277">
        <v>14.91</v>
      </c>
      <c r="Z14" s="1278">
        <v>15.17</v>
      </c>
      <c r="AA14" s="1279">
        <v>15.42</v>
      </c>
      <c r="AB14" s="1280">
        <v>15.68</v>
      </c>
      <c r="AC14" s="1281">
        <v>15.94</v>
      </c>
      <c r="AD14" s="1281">
        <v>16.2</v>
      </c>
      <c r="AE14" s="1285">
        <v>16.45</v>
      </c>
      <c r="AF14" s="1282">
        <v>16.71</v>
      </c>
      <c r="AG14" s="1288">
        <v>16.97</v>
      </c>
      <c r="AH14" s="1288">
        <v>17.22</v>
      </c>
      <c r="AI14" s="1288">
        <v>17.48</v>
      </c>
      <c r="AJ14" s="1288">
        <v>17.739999999999998</v>
      </c>
      <c r="AK14" s="1288">
        <v>17.989999999999998</v>
      </c>
      <c r="AL14" s="1288">
        <v>18.25</v>
      </c>
      <c r="AM14" s="1289">
        <v>18.510000000000002</v>
      </c>
      <c r="AN14" s="1289">
        <v>18.77</v>
      </c>
      <c r="AO14" s="1289">
        <v>19.02</v>
      </c>
      <c r="AP14" s="1289">
        <v>19.28</v>
      </c>
      <c r="AQ14" s="1289">
        <v>14.65</v>
      </c>
      <c r="AR14" s="1289">
        <v>14.4</v>
      </c>
      <c r="AS14" s="1289">
        <v>11.08</v>
      </c>
      <c r="AT14" s="1289">
        <v>10.83</v>
      </c>
      <c r="AU14" s="1287">
        <v>10.57</v>
      </c>
    </row>
    <row r="15" spans="1:47">
      <c r="A15" s="1277">
        <v>25.49</v>
      </c>
      <c r="B15" s="1278">
        <v>25.89</v>
      </c>
      <c r="C15" s="1279">
        <v>26.29</v>
      </c>
      <c r="D15" s="1280">
        <v>26.69</v>
      </c>
      <c r="E15" s="1281">
        <v>27.09</v>
      </c>
      <c r="F15" s="1281">
        <v>27.49</v>
      </c>
      <c r="G15" s="1281">
        <v>27.89</v>
      </c>
      <c r="H15" s="1282">
        <v>28.29</v>
      </c>
      <c r="I15" s="1288">
        <v>28.69</v>
      </c>
      <c r="J15" s="1288">
        <v>29.09</v>
      </c>
      <c r="K15" s="1288">
        <v>29.49</v>
      </c>
      <c r="L15" s="1288">
        <v>29.89</v>
      </c>
      <c r="M15" s="1288">
        <v>30.29</v>
      </c>
      <c r="N15" s="1288">
        <v>30.69</v>
      </c>
      <c r="O15" s="1289">
        <v>31.09</v>
      </c>
      <c r="P15" s="1289">
        <v>31.49</v>
      </c>
      <c r="Q15" s="1289">
        <v>31.89</v>
      </c>
      <c r="R15" s="1289">
        <v>32.29</v>
      </c>
      <c r="S15" s="1289">
        <v>25.09</v>
      </c>
      <c r="T15" s="1289">
        <v>24.69</v>
      </c>
      <c r="U15" s="1289">
        <v>18.23</v>
      </c>
      <c r="V15" s="1289">
        <v>17.829999999999998</v>
      </c>
      <c r="W15" s="1289">
        <v>17.43</v>
      </c>
      <c r="X15" s="62">
        <v>11</v>
      </c>
      <c r="Y15" s="1277">
        <v>16.09</v>
      </c>
      <c r="Z15" s="1278">
        <v>16.37</v>
      </c>
      <c r="AA15" s="1279">
        <v>16.649999999999999</v>
      </c>
      <c r="AB15" s="1280">
        <v>16.940000000000001</v>
      </c>
      <c r="AC15" s="1281">
        <v>17.22</v>
      </c>
      <c r="AD15" s="1281">
        <v>17.5</v>
      </c>
      <c r="AE15" s="1285">
        <v>17.79</v>
      </c>
      <c r="AF15" s="1282">
        <v>18.07</v>
      </c>
      <c r="AG15" s="1288">
        <v>18.350000000000001</v>
      </c>
      <c r="AH15" s="1288">
        <v>18.63</v>
      </c>
      <c r="AI15" s="1288">
        <v>18.920000000000002</v>
      </c>
      <c r="AJ15" s="1288">
        <v>19.2</v>
      </c>
      <c r="AK15" s="1288">
        <v>19.48</v>
      </c>
      <c r="AL15" s="1288">
        <v>19.760000000000002</v>
      </c>
      <c r="AM15" s="1289">
        <v>20.05</v>
      </c>
      <c r="AN15" s="1289">
        <v>20.329999999999998</v>
      </c>
      <c r="AO15" s="1289">
        <v>20.61</v>
      </c>
      <c r="AP15" s="1289">
        <v>20.9</v>
      </c>
      <c r="AQ15" s="1289">
        <v>15.81</v>
      </c>
      <c r="AR15" s="1289">
        <v>15.52</v>
      </c>
      <c r="AS15" s="1289">
        <v>12</v>
      </c>
      <c r="AT15" s="1289">
        <v>11.71</v>
      </c>
      <c r="AU15" s="1287">
        <v>11.43</v>
      </c>
    </row>
    <row r="16" spans="1:47">
      <c r="A16" s="1277">
        <v>27.69</v>
      </c>
      <c r="B16" s="1278">
        <v>28.12</v>
      </c>
      <c r="C16" s="1279">
        <v>28.56</v>
      </c>
      <c r="D16" s="1280">
        <v>29</v>
      </c>
      <c r="E16" s="1281">
        <v>29.44</v>
      </c>
      <c r="F16" s="1281">
        <v>29.87</v>
      </c>
      <c r="G16" s="1281">
        <v>30.31</v>
      </c>
      <c r="H16" s="1282">
        <v>30.75</v>
      </c>
      <c r="I16" s="1288">
        <v>31.18</v>
      </c>
      <c r="J16" s="1288">
        <v>31.62</v>
      </c>
      <c r="K16" s="1288">
        <v>32.06</v>
      </c>
      <c r="L16" s="1288">
        <v>32.49</v>
      </c>
      <c r="M16" s="1288">
        <v>32.93</v>
      </c>
      <c r="N16" s="1288">
        <v>33.369999999999997</v>
      </c>
      <c r="O16" s="1289">
        <v>33.799999999999997</v>
      </c>
      <c r="P16" s="1289">
        <v>34.229999999999997</v>
      </c>
      <c r="Q16" s="1289">
        <v>34.68</v>
      </c>
      <c r="R16" s="1289">
        <v>35.11</v>
      </c>
      <c r="S16" s="1289">
        <v>27.25</v>
      </c>
      <c r="T16" s="1289">
        <v>26.81</v>
      </c>
      <c r="U16" s="1289">
        <v>19.82</v>
      </c>
      <c r="V16" s="1289">
        <v>19.38</v>
      </c>
      <c r="W16" s="1289">
        <v>18.940000000000001</v>
      </c>
      <c r="X16" s="62">
        <v>12</v>
      </c>
      <c r="Y16" s="1277">
        <v>17.27</v>
      </c>
      <c r="Z16" s="1278">
        <v>17.579999999999998</v>
      </c>
      <c r="AA16" s="1279">
        <v>17.89</v>
      </c>
      <c r="AB16" s="1280">
        <v>18.190000000000001</v>
      </c>
      <c r="AC16" s="1281">
        <v>18.5</v>
      </c>
      <c r="AD16" s="1281">
        <v>18.809999999999999</v>
      </c>
      <c r="AE16" s="1285">
        <v>19.12</v>
      </c>
      <c r="AF16" s="1282">
        <v>19.43</v>
      </c>
      <c r="AG16" s="1288">
        <v>19.739999999999998</v>
      </c>
      <c r="AH16" s="1288">
        <v>20.04</v>
      </c>
      <c r="AI16" s="1288">
        <v>20.350000000000001</v>
      </c>
      <c r="AJ16" s="1288">
        <v>20.66</v>
      </c>
      <c r="AK16" s="1288">
        <v>20.97</v>
      </c>
      <c r="AL16" s="1288">
        <v>21.28</v>
      </c>
      <c r="AM16" s="1289">
        <v>21.59</v>
      </c>
      <c r="AN16" s="1289">
        <v>21.9</v>
      </c>
      <c r="AO16" s="1289">
        <v>22.2</v>
      </c>
      <c r="AP16" s="1289">
        <v>22.51</v>
      </c>
      <c r="AQ16" s="1289">
        <v>16.96</v>
      </c>
      <c r="AR16" s="1289">
        <v>16.649999999999999</v>
      </c>
      <c r="AS16" s="1289">
        <v>12.91</v>
      </c>
      <c r="AT16" s="1289">
        <v>12.6</v>
      </c>
      <c r="AU16" s="1287">
        <v>12.29</v>
      </c>
    </row>
    <row r="17" spans="1:47">
      <c r="A17" s="1277">
        <v>29.89</v>
      </c>
      <c r="B17" s="1278">
        <v>30.37</v>
      </c>
      <c r="C17" s="1279">
        <v>30.84</v>
      </c>
      <c r="D17" s="1280">
        <v>31.31</v>
      </c>
      <c r="E17" s="1281">
        <v>31.78</v>
      </c>
      <c r="F17" s="1281">
        <v>32.26</v>
      </c>
      <c r="G17" s="1281">
        <v>32.729999999999997</v>
      </c>
      <c r="H17" s="1282">
        <v>33.200000000000003</v>
      </c>
      <c r="I17" s="1288">
        <v>33.68</v>
      </c>
      <c r="J17" s="1288">
        <v>34.15</v>
      </c>
      <c r="K17" s="1288">
        <v>34.619999999999997</v>
      </c>
      <c r="L17" s="1288">
        <v>35.1</v>
      </c>
      <c r="M17" s="1288">
        <v>35.57</v>
      </c>
      <c r="N17" s="1288">
        <v>36.04</v>
      </c>
      <c r="O17" s="1289">
        <v>36.520000000000003</v>
      </c>
      <c r="P17" s="1289">
        <v>36.99</v>
      </c>
      <c r="Q17" s="1289">
        <v>37.46</v>
      </c>
      <c r="R17" s="1289">
        <v>37.94</v>
      </c>
      <c r="S17" s="1289">
        <v>29.42</v>
      </c>
      <c r="T17" s="1289">
        <v>28.95</v>
      </c>
      <c r="U17" s="1289">
        <v>21.41</v>
      </c>
      <c r="V17" s="1289">
        <v>20.93</v>
      </c>
      <c r="W17" s="1289">
        <v>20.46</v>
      </c>
      <c r="X17" s="62">
        <v>13</v>
      </c>
      <c r="Y17" s="1277">
        <v>18.45</v>
      </c>
      <c r="Z17" s="1278">
        <v>18.78</v>
      </c>
      <c r="AA17" s="1279">
        <v>19.12</v>
      </c>
      <c r="AB17" s="1280">
        <v>19.45</v>
      </c>
      <c r="AC17" s="1281">
        <v>19.79</v>
      </c>
      <c r="AD17" s="1281">
        <v>20.12</v>
      </c>
      <c r="AE17" s="1285">
        <v>20.45</v>
      </c>
      <c r="AF17" s="1282">
        <v>20.79</v>
      </c>
      <c r="AG17" s="1288">
        <v>21.12</v>
      </c>
      <c r="AH17" s="1288">
        <v>21.46</v>
      </c>
      <c r="AI17" s="1288">
        <v>21.79</v>
      </c>
      <c r="AJ17" s="1288">
        <v>22.12</v>
      </c>
      <c r="AK17" s="1288">
        <v>22.46</v>
      </c>
      <c r="AL17" s="1288">
        <v>22.79</v>
      </c>
      <c r="AM17" s="1289">
        <v>23.13</v>
      </c>
      <c r="AN17" s="1289">
        <v>23.46</v>
      </c>
      <c r="AO17" s="1289">
        <v>23.8</v>
      </c>
      <c r="AP17" s="1289">
        <v>24.13</v>
      </c>
      <c r="AQ17" s="1289">
        <v>18.12</v>
      </c>
      <c r="AR17" s="1289">
        <v>17.78</v>
      </c>
      <c r="AS17" s="1289">
        <v>13.83</v>
      </c>
      <c r="AT17" s="1289">
        <v>13.49</v>
      </c>
      <c r="AU17" s="1287">
        <v>13.16</v>
      </c>
    </row>
    <row r="18" spans="1:47">
      <c r="A18" s="1277">
        <v>32.1</v>
      </c>
      <c r="B18" s="1278">
        <v>32.6</v>
      </c>
      <c r="C18" s="1279">
        <v>33.11</v>
      </c>
      <c r="D18" s="1280">
        <v>33.619999999999997</v>
      </c>
      <c r="E18" s="1281">
        <v>34.130000000000003</v>
      </c>
      <c r="F18" s="1281">
        <v>34.64</v>
      </c>
      <c r="G18" s="1281">
        <v>35.15</v>
      </c>
      <c r="H18" s="1282">
        <v>35.659999999999997</v>
      </c>
      <c r="I18" s="1288">
        <v>36.17</v>
      </c>
      <c r="J18" s="1288">
        <v>36.68</v>
      </c>
      <c r="K18" s="1288">
        <v>37.19</v>
      </c>
      <c r="L18" s="1288">
        <v>37.700000000000003</v>
      </c>
      <c r="M18" s="1288">
        <v>38.21</v>
      </c>
      <c r="N18" s="1288">
        <v>38.72</v>
      </c>
      <c r="O18" s="1289">
        <v>39.229999999999997</v>
      </c>
      <c r="P18" s="1289">
        <v>39.74</v>
      </c>
      <c r="Q18" s="1289">
        <v>40.25</v>
      </c>
      <c r="R18" s="1289">
        <v>40.76</v>
      </c>
      <c r="S18" s="1289">
        <v>31.59</v>
      </c>
      <c r="T18" s="1289">
        <v>31.08</v>
      </c>
      <c r="U18" s="1289">
        <v>23</v>
      </c>
      <c r="V18" s="1289">
        <v>22.49</v>
      </c>
      <c r="W18" s="1289">
        <v>21.98</v>
      </c>
      <c r="X18" s="62">
        <v>14</v>
      </c>
      <c r="Y18" s="1277">
        <v>19.63</v>
      </c>
      <c r="Z18" s="1278">
        <v>19.989999999999998</v>
      </c>
      <c r="AA18" s="1279">
        <v>20.350000000000001</v>
      </c>
      <c r="AB18" s="1280">
        <v>20.71</v>
      </c>
      <c r="AC18" s="1281">
        <v>21.07</v>
      </c>
      <c r="AD18" s="1281">
        <v>21.43</v>
      </c>
      <c r="AE18" s="1285">
        <v>21.79</v>
      </c>
      <c r="AF18" s="1282">
        <v>22.15</v>
      </c>
      <c r="AG18" s="1288">
        <v>22.51</v>
      </c>
      <c r="AH18" s="1288">
        <v>22.87</v>
      </c>
      <c r="AI18" s="1288">
        <v>23.23</v>
      </c>
      <c r="AJ18" s="1288">
        <v>23.59</v>
      </c>
      <c r="AK18" s="1288">
        <v>23.95</v>
      </c>
      <c r="AL18" s="1288">
        <v>24.31</v>
      </c>
      <c r="AM18" s="1289">
        <v>24.67</v>
      </c>
      <c r="AN18" s="1289">
        <v>25.03</v>
      </c>
      <c r="AO18" s="1289">
        <v>25.39</v>
      </c>
      <c r="AP18" s="1289">
        <v>25.75</v>
      </c>
      <c r="AQ18" s="1289">
        <v>19.27</v>
      </c>
      <c r="AR18" s="1289">
        <v>18.91</v>
      </c>
      <c r="AS18" s="1289">
        <v>14.74</v>
      </c>
      <c r="AT18" s="1289">
        <v>14.38</v>
      </c>
      <c r="AU18" s="1287">
        <v>14.02</v>
      </c>
    </row>
    <row r="19" spans="1:47">
      <c r="A19" s="1277">
        <v>34.299999999999997</v>
      </c>
      <c r="B19" s="1278">
        <v>34.840000000000003</v>
      </c>
      <c r="C19" s="1279">
        <v>35.39</v>
      </c>
      <c r="D19" s="1280">
        <v>35.93</v>
      </c>
      <c r="E19" s="1281">
        <v>36.479999999999997</v>
      </c>
      <c r="F19" s="1281">
        <v>37.03</v>
      </c>
      <c r="G19" s="1281" t="s">
        <v>1186</v>
      </c>
      <c r="H19" s="1282">
        <v>38.119999999999997</v>
      </c>
      <c r="I19" s="1288">
        <v>38.659999999999997</v>
      </c>
      <c r="J19" s="1288">
        <v>39.21</v>
      </c>
      <c r="K19" s="1288">
        <v>39.76</v>
      </c>
      <c r="L19" s="1288">
        <v>40.299999999999997</v>
      </c>
      <c r="M19" s="1288">
        <v>40.85</v>
      </c>
      <c r="N19" s="1288">
        <v>41.39</v>
      </c>
      <c r="O19" s="1289">
        <v>41.94</v>
      </c>
      <c r="P19" s="1326">
        <v>42.49</v>
      </c>
      <c r="Q19" s="1289">
        <v>43.03</v>
      </c>
      <c r="R19" s="1289">
        <v>43.58</v>
      </c>
      <c r="S19" s="1289">
        <v>33.75</v>
      </c>
      <c r="T19" s="1289">
        <v>33.200000000000003</v>
      </c>
      <c r="U19" s="1289">
        <v>24.59</v>
      </c>
      <c r="V19" s="1289">
        <v>24.04</v>
      </c>
      <c r="W19" s="1289">
        <v>23.49</v>
      </c>
      <c r="X19" s="62">
        <v>15</v>
      </c>
      <c r="Y19" s="1277">
        <v>20.87</v>
      </c>
      <c r="Z19" s="1278">
        <v>21.25</v>
      </c>
      <c r="AA19" s="1279">
        <v>21.64</v>
      </c>
      <c r="AB19" s="1280">
        <v>22.02</v>
      </c>
      <c r="AC19" s="1281">
        <v>22.41</v>
      </c>
      <c r="AD19" s="1281">
        <v>22.79</v>
      </c>
      <c r="AE19" s="1285">
        <v>23.18</v>
      </c>
      <c r="AF19" s="1282">
        <v>23.56</v>
      </c>
      <c r="AG19" s="1288">
        <v>23.95</v>
      </c>
      <c r="AH19" s="1288">
        <v>24.33</v>
      </c>
      <c r="AI19" s="1288">
        <v>24.72</v>
      </c>
      <c r="AJ19" s="1288">
        <v>25.11</v>
      </c>
      <c r="AK19" s="1288">
        <v>25.49</v>
      </c>
      <c r="AL19" s="1288">
        <v>25.88</v>
      </c>
      <c r="AM19" s="1289">
        <v>26.26</v>
      </c>
      <c r="AN19" s="1289">
        <v>26.65</v>
      </c>
      <c r="AO19" s="1289">
        <v>27.03</v>
      </c>
      <c r="AP19" s="1289">
        <v>27.42</v>
      </c>
      <c r="AQ19" s="1289">
        <v>20.48</v>
      </c>
      <c r="AR19" s="1289">
        <v>20.09</v>
      </c>
      <c r="AS19" s="1289">
        <v>15.69</v>
      </c>
      <c r="AT19" s="1289">
        <v>15.3</v>
      </c>
      <c r="AU19" s="1287">
        <v>14.92</v>
      </c>
    </row>
    <row r="20" spans="1:47">
      <c r="A20" s="1277">
        <v>36.5</v>
      </c>
      <c r="B20" s="1278">
        <v>37.08</v>
      </c>
      <c r="C20" s="1279">
        <v>37.67</v>
      </c>
      <c r="D20" s="1280">
        <v>38.25</v>
      </c>
      <c r="E20" s="1281">
        <v>38.83</v>
      </c>
      <c r="F20" s="1281">
        <v>39.409999999999997</v>
      </c>
      <c r="G20" s="1281">
        <v>40</v>
      </c>
      <c r="H20" s="1282">
        <v>40.58</v>
      </c>
      <c r="I20" s="1288">
        <v>41.16</v>
      </c>
      <c r="J20" s="1288">
        <v>41.74</v>
      </c>
      <c r="K20" s="1288">
        <v>42.33</v>
      </c>
      <c r="L20" s="1288">
        <v>42.91</v>
      </c>
      <c r="M20" s="1288">
        <v>43.49</v>
      </c>
      <c r="N20" s="1288">
        <v>44.07</v>
      </c>
      <c r="O20" s="1289">
        <v>44.65</v>
      </c>
      <c r="P20" s="1289">
        <v>45.24</v>
      </c>
      <c r="Q20" s="1289">
        <v>45.82</v>
      </c>
      <c r="R20" s="1289">
        <v>46.4</v>
      </c>
      <c r="S20" s="1289">
        <v>35.92</v>
      </c>
      <c r="T20" s="1289">
        <v>35.340000000000003</v>
      </c>
      <c r="U20" s="1289">
        <v>26.18</v>
      </c>
      <c r="V20" s="1289">
        <v>25.6</v>
      </c>
      <c r="W20" s="1289">
        <v>25.01</v>
      </c>
      <c r="X20" s="62">
        <v>16</v>
      </c>
      <c r="Y20" s="1277">
        <v>22.21</v>
      </c>
      <c r="Z20" s="1278">
        <v>22.63</v>
      </c>
      <c r="AA20" s="1279">
        <v>23.04</v>
      </c>
      <c r="AB20" s="1280">
        <v>23.45</v>
      </c>
      <c r="AC20" s="1281">
        <v>23.86</v>
      </c>
      <c r="AD20" s="1281">
        <v>24.27</v>
      </c>
      <c r="AE20" s="1285">
        <v>24.68</v>
      </c>
      <c r="AF20" s="1282">
        <v>25.09</v>
      </c>
      <c r="AG20" s="1288">
        <v>25.5</v>
      </c>
      <c r="AH20" s="1288">
        <v>25.91</v>
      </c>
      <c r="AI20" s="1288">
        <v>26.33</v>
      </c>
      <c r="AJ20" s="1288">
        <v>26.74</v>
      </c>
      <c r="AK20" s="1288">
        <v>27.15</v>
      </c>
      <c r="AL20" s="1288">
        <v>27.56</v>
      </c>
      <c r="AM20" s="1289">
        <v>27.97</v>
      </c>
      <c r="AN20" s="1289">
        <v>28.38</v>
      </c>
      <c r="AO20" s="1289">
        <v>28.79</v>
      </c>
      <c r="AP20" s="1289">
        <v>29.2</v>
      </c>
      <c r="AQ20" s="1289">
        <v>21.8</v>
      </c>
      <c r="AR20" s="1289">
        <v>21.39</v>
      </c>
      <c r="AS20" s="1289">
        <v>16.71</v>
      </c>
      <c r="AT20" s="1289">
        <v>16.3</v>
      </c>
      <c r="AU20" s="1287">
        <v>15.89</v>
      </c>
    </row>
    <row r="21" spans="1:47">
      <c r="A21" s="1277">
        <v>38.700000000000003</v>
      </c>
      <c r="B21" s="1278">
        <v>39.32</v>
      </c>
      <c r="C21" s="1279">
        <v>39.94</v>
      </c>
      <c r="D21" s="1280">
        <v>40.56</v>
      </c>
      <c r="E21" s="1281">
        <v>41.18</v>
      </c>
      <c r="F21" s="1281">
        <v>41.8</v>
      </c>
      <c r="G21" s="1281">
        <v>42.41</v>
      </c>
      <c r="H21" s="1282">
        <v>43.03</v>
      </c>
      <c r="I21" s="1288">
        <v>43.65</v>
      </c>
      <c r="J21" s="1288">
        <v>44.27</v>
      </c>
      <c r="K21" s="1288">
        <v>44.89</v>
      </c>
      <c r="L21" s="1288">
        <v>45.51</v>
      </c>
      <c r="M21" s="1288">
        <v>46.13</v>
      </c>
      <c r="N21" s="1288">
        <v>46.75</v>
      </c>
      <c r="O21" s="1289">
        <v>47.36</v>
      </c>
      <c r="P21" s="1289">
        <v>47.98</v>
      </c>
      <c r="Q21" s="1289">
        <v>48.6</v>
      </c>
      <c r="R21" s="1289">
        <v>49.22</v>
      </c>
      <c r="S21" s="1289">
        <v>38.08</v>
      </c>
      <c r="T21" s="1289">
        <v>37.46</v>
      </c>
      <c r="U21" s="1289">
        <v>27.77</v>
      </c>
      <c r="V21" s="1289">
        <v>27.15</v>
      </c>
      <c r="W21" s="1289">
        <v>26.53</v>
      </c>
      <c r="X21" s="62">
        <v>17</v>
      </c>
      <c r="Y21" s="1277">
        <v>23.56</v>
      </c>
      <c r="Z21" s="1278">
        <v>24</v>
      </c>
      <c r="AA21" s="1279">
        <v>24.44</v>
      </c>
      <c r="AB21" s="1280">
        <v>24.87</v>
      </c>
      <c r="AC21" s="1281">
        <v>25.31</v>
      </c>
      <c r="AD21" s="1281">
        <v>25.75</v>
      </c>
      <c r="AE21" s="1285">
        <v>26.19</v>
      </c>
      <c r="AF21" s="1282">
        <v>26.62</v>
      </c>
      <c r="AG21" s="1288">
        <v>27.06</v>
      </c>
      <c r="AH21" s="1288">
        <v>27.5</v>
      </c>
      <c r="AI21" s="1288">
        <v>27.93</v>
      </c>
      <c r="AJ21" s="1288">
        <v>28.37</v>
      </c>
      <c r="AK21" s="1288">
        <v>28.81</v>
      </c>
      <c r="AL21" s="1288">
        <v>29.24</v>
      </c>
      <c r="AM21" s="1289">
        <v>29.68</v>
      </c>
      <c r="AN21" s="1289">
        <v>30.12</v>
      </c>
      <c r="AO21" s="1289">
        <v>30.55</v>
      </c>
      <c r="AP21" s="1289">
        <v>30.99</v>
      </c>
      <c r="AQ21" s="1289">
        <v>23.13</v>
      </c>
      <c r="AR21" s="1289">
        <v>22.69</v>
      </c>
      <c r="AS21" s="1289">
        <v>17.73</v>
      </c>
      <c r="AT21" s="1289">
        <v>17.29</v>
      </c>
      <c r="AU21" s="1289">
        <v>16.850000000000001</v>
      </c>
    </row>
    <row r="22" spans="1:47">
      <c r="A22" s="1277">
        <v>40.9</v>
      </c>
      <c r="B22" s="1278">
        <v>41.56</v>
      </c>
      <c r="C22" s="1279">
        <v>42.21</v>
      </c>
      <c r="D22" s="1280">
        <v>42.87</v>
      </c>
      <c r="E22" s="1281">
        <v>43.52</v>
      </c>
      <c r="F22" s="1281">
        <v>44.18</v>
      </c>
      <c r="G22" s="1281">
        <v>44.83</v>
      </c>
      <c r="H22" s="1282">
        <v>45.49</v>
      </c>
      <c r="I22" s="1288">
        <v>46.14</v>
      </c>
      <c r="J22" s="1288">
        <v>46.8</v>
      </c>
      <c r="K22" s="1288">
        <v>47.45</v>
      </c>
      <c r="L22" s="1288">
        <v>48.11</v>
      </c>
      <c r="M22" s="1288">
        <v>48.76</v>
      </c>
      <c r="N22" s="1288">
        <v>49.42</v>
      </c>
      <c r="O22" s="1289">
        <v>50.07</v>
      </c>
      <c r="P22" s="1289">
        <v>50.73</v>
      </c>
      <c r="Q22" s="1289">
        <v>51.38</v>
      </c>
      <c r="R22" s="1289">
        <v>52.04</v>
      </c>
      <c r="S22" s="1289">
        <v>40.25</v>
      </c>
      <c r="T22" s="1289">
        <v>39.590000000000003</v>
      </c>
      <c r="U22" s="1289">
        <v>29.36</v>
      </c>
      <c r="V22" s="1289">
        <v>28.7</v>
      </c>
      <c r="W22" s="1289">
        <v>28.05</v>
      </c>
      <c r="X22" s="62">
        <v>18</v>
      </c>
      <c r="Y22" s="1277">
        <v>24.91</v>
      </c>
      <c r="Z22" s="1278">
        <v>25.38</v>
      </c>
      <c r="AA22" s="1279">
        <v>25.84</v>
      </c>
      <c r="AB22" s="1280">
        <v>26.3</v>
      </c>
      <c r="AC22" s="1281">
        <v>26.76</v>
      </c>
      <c r="AD22" s="1281">
        <v>27.23</v>
      </c>
      <c r="AE22" s="1285">
        <v>27.69</v>
      </c>
      <c r="AF22" s="1282">
        <v>28.15</v>
      </c>
      <c r="AG22" s="1288">
        <v>28.61</v>
      </c>
      <c r="AH22" s="1288">
        <v>29.08</v>
      </c>
      <c r="AI22" s="1288">
        <v>29.54</v>
      </c>
      <c r="AJ22" s="1288">
        <v>30</v>
      </c>
      <c r="AK22" s="1288">
        <v>30.46</v>
      </c>
      <c r="AL22" s="1288">
        <v>30.93</v>
      </c>
      <c r="AM22" s="1289">
        <v>31.39</v>
      </c>
      <c r="AN22" s="1289">
        <v>31.85</v>
      </c>
      <c r="AO22" s="1289">
        <v>32.31</v>
      </c>
      <c r="AP22" s="1289">
        <v>32.78</v>
      </c>
      <c r="AQ22" s="1289">
        <v>24.45</v>
      </c>
      <c r="AR22" s="1289">
        <v>23.99</v>
      </c>
      <c r="AS22" s="1289">
        <v>18.75</v>
      </c>
      <c r="AT22" s="1289">
        <v>18.29</v>
      </c>
      <c r="AU22" s="1289">
        <v>17.82</v>
      </c>
    </row>
    <row r="23" spans="1:47">
      <c r="A23" s="1277">
        <v>43.11</v>
      </c>
      <c r="B23" s="1278">
        <v>43.8</v>
      </c>
      <c r="C23" s="1279">
        <v>44.49</v>
      </c>
      <c r="D23" s="1280">
        <v>45.18</v>
      </c>
      <c r="E23" s="1281">
        <v>45.88</v>
      </c>
      <c r="F23" s="1281">
        <v>46.57</v>
      </c>
      <c r="G23" s="1281">
        <v>47.26</v>
      </c>
      <c r="H23" s="1282">
        <v>47.95</v>
      </c>
      <c r="I23" s="1288">
        <v>48.64</v>
      </c>
      <c r="J23" s="1288">
        <v>49.33</v>
      </c>
      <c r="K23" s="1288">
        <v>50.03</v>
      </c>
      <c r="L23" s="1288">
        <v>50.72</v>
      </c>
      <c r="M23" s="1288">
        <v>51.41</v>
      </c>
      <c r="N23" s="1288">
        <v>52.1</v>
      </c>
      <c r="O23" s="1289">
        <v>52.79</v>
      </c>
      <c r="P23" s="1289">
        <v>53.48</v>
      </c>
      <c r="Q23" s="1289">
        <v>54.17</v>
      </c>
      <c r="R23" s="1289">
        <v>54.87</v>
      </c>
      <c r="S23" s="1289">
        <v>42.42</v>
      </c>
      <c r="T23" s="1289">
        <v>41.73</v>
      </c>
      <c r="U23" s="1289">
        <v>30.95</v>
      </c>
      <c r="V23" s="1289">
        <v>30.26</v>
      </c>
      <c r="W23" s="1289">
        <v>29.57</v>
      </c>
      <c r="X23" s="62">
        <v>19</v>
      </c>
      <c r="Y23" s="1277">
        <v>26.26</v>
      </c>
      <c r="Z23" s="1278">
        <v>26.75</v>
      </c>
      <c r="AA23" s="1279">
        <v>27.24</v>
      </c>
      <c r="AB23" s="1280">
        <v>27.73</v>
      </c>
      <c r="AC23" s="1281">
        <v>28.22</v>
      </c>
      <c r="AD23" s="1281">
        <v>28.7</v>
      </c>
      <c r="AE23" s="1285">
        <v>29.19</v>
      </c>
      <c r="AF23" s="1282">
        <v>29.68</v>
      </c>
      <c r="AG23" s="1288">
        <v>30.17</v>
      </c>
      <c r="AH23" s="1288">
        <v>30.66</v>
      </c>
      <c r="AI23" s="1288">
        <v>31.15</v>
      </c>
      <c r="AJ23" s="1288">
        <v>31.63</v>
      </c>
      <c r="AK23" s="1288">
        <v>32.119999999999997</v>
      </c>
      <c r="AL23" s="1288">
        <v>32.61</v>
      </c>
      <c r="AM23" s="1289">
        <v>33.1</v>
      </c>
      <c r="AN23" s="1289">
        <v>33.590000000000003</v>
      </c>
      <c r="AO23" s="1289">
        <v>34.08</v>
      </c>
      <c r="AP23" s="1289">
        <v>34.56</v>
      </c>
      <c r="AQ23" s="1289">
        <v>25.78</v>
      </c>
      <c r="AR23" s="1289">
        <v>25.29</v>
      </c>
      <c r="AS23" s="1289">
        <v>19.77</v>
      </c>
      <c r="AT23" s="1289">
        <v>19.28</v>
      </c>
      <c r="AU23" s="1289">
        <v>18.79</v>
      </c>
    </row>
    <row r="24" spans="1:47">
      <c r="A24" s="1277">
        <v>45.31</v>
      </c>
      <c r="B24" s="1278">
        <v>46.04</v>
      </c>
      <c r="C24" s="1279">
        <v>46.77</v>
      </c>
      <c r="D24" s="1280">
        <v>47.5</v>
      </c>
      <c r="E24" s="1281">
        <v>48.22</v>
      </c>
      <c r="F24" s="1281">
        <v>49.95</v>
      </c>
      <c r="G24" s="1281">
        <v>49.68</v>
      </c>
      <c r="H24" s="1282">
        <v>50.41</v>
      </c>
      <c r="I24" s="1288">
        <v>51.14</v>
      </c>
      <c r="J24" s="1288">
        <v>51.86</v>
      </c>
      <c r="K24" s="1288">
        <v>52.59</v>
      </c>
      <c r="L24" s="1288">
        <v>53.32</v>
      </c>
      <c r="M24" s="1288">
        <v>54.05</v>
      </c>
      <c r="N24" s="1288">
        <v>54.78</v>
      </c>
      <c r="O24" s="1289">
        <v>55.5</v>
      </c>
      <c r="P24" s="1289">
        <v>56.23</v>
      </c>
      <c r="Q24" s="1289">
        <v>56.96</v>
      </c>
      <c r="R24" s="1289">
        <v>57.69</v>
      </c>
      <c r="S24" s="1289">
        <v>44.58</v>
      </c>
      <c r="T24" s="1289">
        <v>43.86</v>
      </c>
      <c r="U24" s="1289">
        <v>32.54</v>
      </c>
      <c r="V24" s="1289">
        <v>31.81</v>
      </c>
      <c r="W24" s="1289">
        <v>31.08</v>
      </c>
      <c r="X24" s="62">
        <v>20</v>
      </c>
      <c r="Y24" s="1277">
        <v>27.611999999999998</v>
      </c>
      <c r="Z24" s="1278">
        <v>28.13</v>
      </c>
      <c r="AA24" s="1279">
        <v>28.64</v>
      </c>
      <c r="AB24" s="1280">
        <v>29.15</v>
      </c>
      <c r="AC24" s="1281">
        <v>29.67</v>
      </c>
      <c r="AD24" s="1281">
        <v>30.18</v>
      </c>
      <c r="AE24" s="1285">
        <v>30.7</v>
      </c>
      <c r="AF24" s="1282">
        <v>31.21</v>
      </c>
      <c r="AG24" s="1288">
        <v>31.72</v>
      </c>
      <c r="AH24" s="1288">
        <v>32.24</v>
      </c>
      <c r="AI24" s="1288">
        <v>32.75</v>
      </c>
      <c r="AJ24" s="1288">
        <v>33.270000000000003</v>
      </c>
      <c r="AK24" s="1288">
        <v>33.78</v>
      </c>
      <c r="AL24" s="1288">
        <v>34.29</v>
      </c>
      <c r="AM24" s="1289">
        <v>34.81</v>
      </c>
      <c r="AN24" s="1289">
        <v>35.32</v>
      </c>
      <c r="AO24" s="1289">
        <v>35.840000000000003</v>
      </c>
      <c r="AP24" s="1289">
        <v>36.35</v>
      </c>
      <c r="AQ24" s="1289">
        <v>27.1</v>
      </c>
      <c r="AR24" s="1289">
        <v>26.58</v>
      </c>
      <c r="AS24" s="1289">
        <v>20.79</v>
      </c>
      <c r="AT24" s="1289">
        <v>20.27</v>
      </c>
      <c r="AU24" s="1289">
        <v>19.760000000000002</v>
      </c>
    </row>
    <row r="25" spans="1:47">
      <c r="A25" s="1277">
        <v>47.51</v>
      </c>
      <c r="B25" s="1278">
        <v>48.28</v>
      </c>
      <c r="C25" s="1279">
        <v>49.04</v>
      </c>
      <c r="D25" s="1280">
        <v>49.8</v>
      </c>
      <c r="E25" s="1281">
        <v>50.57</v>
      </c>
      <c r="F25" s="1281">
        <v>51.33</v>
      </c>
      <c r="G25" s="1281">
        <v>52.1</v>
      </c>
      <c r="H25" s="1282">
        <v>52.86</v>
      </c>
      <c r="I25" s="1288">
        <v>53.63</v>
      </c>
      <c r="J25" s="1288">
        <v>54.39</v>
      </c>
      <c r="K25" s="1288">
        <v>55.16</v>
      </c>
      <c r="L25" s="1288">
        <v>55.92</v>
      </c>
      <c r="M25" s="1288">
        <v>56.68</v>
      </c>
      <c r="N25" s="1288">
        <v>57.45</v>
      </c>
      <c r="O25" s="1289">
        <v>58.21</v>
      </c>
      <c r="P25" s="1289">
        <v>58.98</v>
      </c>
      <c r="Q25" s="1289">
        <v>59.74</v>
      </c>
      <c r="R25" s="1289">
        <v>60.51</v>
      </c>
      <c r="S25" s="1289">
        <v>46.75</v>
      </c>
      <c r="T25" s="1289">
        <v>45.98</v>
      </c>
      <c r="U25" s="1289">
        <v>34.130000000000003</v>
      </c>
      <c r="V25" s="1289">
        <v>33.36</v>
      </c>
      <c r="W25" s="1289">
        <v>32.6</v>
      </c>
      <c r="X25" s="62">
        <v>21</v>
      </c>
      <c r="Y25" s="1277">
        <v>28.96</v>
      </c>
      <c r="Z25" s="1278">
        <v>29.5</v>
      </c>
      <c r="AA25" s="1279">
        <v>30.04</v>
      </c>
      <c r="AB25" s="1280">
        <v>30.58</v>
      </c>
      <c r="AC25" s="1281">
        <v>31.12</v>
      </c>
      <c r="AD25" s="1281">
        <v>31.66</v>
      </c>
      <c r="AE25" s="1285">
        <v>32.200000000000003</v>
      </c>
      <c r="AF25" s="1282">
        <v>32.74</v>
      </c>
      <c r="AG25" s="1288">
        <v>33.28</v>
      </c>
      <c r="AH25" s="1288">
        <v>33.82</v>
      </c>
      <c r="AI25" s="1288">
        <v>34.36</v>
      </c>
      <c r="AJ25" s="1288">
        <v>34.9</v>
      </c>
      <c r="AK25" s="1288">
        <v>35.44</v>
      </c>
      <c r="AL25" s="1288">
        <v>35.979999999999997</v>
      </c>
      <c r="AM25" s="1289">
        <v>36.520000000000003</v>
      </c>
      <c r="AN25" s="1289">
        <v>37.06</v>
      </c>
      <c r="AO25" s="1289">
        <v>37.6</v>
      </c>
      <c r="AP25" s="1289">
        <v>38.14</v>
      </c>
      <c r="AQ25" s="1289">
        <v>28.42</v>
      </c>
      <c r="AR25" s="1289">
        <v>27.88</v>
      </c>
      <c r="AS25" s="1289">
        <v>21.81</v>
      </c>
      <c r="AT25" s="1289">
        <v>21.27</v>
      </c>
      <c r="AU25" s="1289">
        <v>20.73</v>
      </c>
    </row>
    <row r="26" spans="1:47">
      <c r="A26" s="1277">
        <v>49.72</v>
      </c>
      <c r="B26" s="1278">
        <v>50.52</v>
      </c>
      <c r="C26" s="1279">
        <v>51.32</v>
      </c>
      <c r="D26" s="1280">
        <v>52.12</v>
      </c>
      <c r="E26" s="1281">
        <v>52.92</v>
      </c>
      <c r="F26" s="1281">
        <v>53.72</v>
      </c>
      <c r="G26" s="1281">
        <v>54.52</v>
      </c>
      <c r="H26" s="1282">
        <v>55.33</v>
      </c>
      <c r="I26" s="1288">
        <v>56.13</v>
      </c>
      <c r="J26" s="1288">
        <v>56.93</v>
      </c>
      <c r="K26" s="1288">
        <v>57.73</v>
      </c>
      <c r="L26" s="1288" t="s">
        <v>1187</v>
      </c>
      <c r="M26" s="1288">
        <v>59.33</v>
      </c>
      <c r="N26" s="1288">
        <v>60.13</v>
      </c>
      <c r="O26" s="1289">
        <v>60.93</v>
      </c>
      <c r="P26" s="1289">
        <v>61.73</v>
      </c>
      <c r="Q26" s="1289">
        <v>62.53</v>
      </c>
      <c r="R26" s="1289">
        <v>63.33</v>
      </c>
      <c r="S26" s="1289">
        <v>48.92</v>
      </c>
      <c r="T26" s="1289">
        <v>48.12</v>
      </c>
      <c r="U26" s="1289">
        <v>35.72</v>
      </c>
      <c r="V26" s="1289">
        <v>34.92</v>
      </c>
      <c r="W26" s="1289">
        <v>34.119999999999997</v>
      </c>
      <c r="X26" s="62">
        <v>22</v>
      </c>
      <c r="Y26" s="1277">
        <v>30.31</v>
      </c>
      <c r="Z26" s="1278">
        <v>30.88</v>
      </c>
      <c r="AA26" s="1279">
        <v>31.44</v>
      </c>
      <c r="AB26" s="1280">
        <v>32.01</v>
      </c>
      <c r="AC26" s="1281">
        <v>32.57</v>
      </c>
      <c r="AD26" s="1281">
        <v>33.14</v>
      </c>
      <c r="AE26" s="1285">
        <v>33.700000000000003</v>
      </c>
      <c r="AF26" s="1282">
        <v>34.270000000000003</v>
      </c>
      <c r="AG26" s="1288">
        <v>34.83</v>
      </c>
      <c r="AH26" s="1288">
        <v>35.4</v>
      </c>
      <c r="AI26" s="1288">
        <v>35.96</v>
      </c>
      <c r="AJ26" s="1288">
        <v>36.53</v>
      </c>
      <c r="AK26" s="1288">
        <v>37.1</v>
      </c>
      <c r="AL26" s="1288">
        <v>37.659999999999997</v>
      </c>
      <c r="AM26" s="1289">
        <v>38.229999999999997</v>
      </c>
      <c r="AN26" s="1289">
        <v>38.79</v>
      </c>
      <c r="AO26" s="1289">
        <v>39.36</v>
      </c>
      <c r="AP26" s="1289">
        <v>39.92</v>
      </c>
      <c r="AQ26" s="1289">
        <v>29.75</v>
      </c>
      <c r="AR26" s="1289">
        <v>29.18</v>
      </c>
      <c r="AS26" s="1289">
        <v>22.83</v>
      </c>
      <c r="AT26" s="1289">
        <v>22.26</v>
      </c>
      <c r="AU26" s="1289">
        <v>21.7</v>
      </c>
    </row>
    <row r="27" spans="1:47">
      <c r="A27" s="1277">
        <v>51.91</v>
      </c>
      <c r="B27" s="1278">
        <v>52.75</v>
      </c>
      <c r="C27" s="1279">
        <v>53.59</v>
      </c>
      <c r="D27" s="1280">
        <v>54.43</v>
      </c>
      <c r="E27" s="1281">
        <v>55.26</v>
      </c>
      <c r="F27" s="1281">
        <v>56.1</v>
      </c>
      <c r="G27" s="1281">
        <v>56.94</v>
      </c>
      <c r="H27" s="1282">
        <v>57.78</v>
      </c>
      <c r="I27" s="1288">
        <v>58.61</v>
      </c>
      <c r="J27" s="1288">
        <v>59.45</v>
      </c>
      <c r="K27" s="1288">
        <v>60.29</v>
      </c>
      <c r="L27" s="1288">
        <v>63.73</v>
      </c>
      <c r="M27" s="1288">
        <v>61.96</v>
      </c>
      <c r="N27" s="1288">
        <v>62.8</v>
      </c>
      <c r="O27" s="1289">
        <v>63.64</v>
      </c>
      <c r="P27" s="1289">
        <v>64.47</v>
      </c>
      <c r="Q27" s="1289">
        <v>65.31</v>
      </c>
      <c r="R27" s="1289">
        <v>66.150000000000006</v>
      </c>
      <c r="S27" s="1289">
        <v>51.08</v>
      </c>
      <c r="T27" s="1289">
        <v>50.24</v>
      </c>
      <c r="U27" s="1289">
        <v>37.31</v>
      </c>
      <c r="V27" s="1289">
        <v>36.47</v>
      </c>
      <c r="W27" s="1289">
        <v>35.630000000000003</v>
      </c>
      <c r="X27" s="62">
        <v>23</v>
      </c>
      <c r="Y27" s="1277">
        <v>31.66</v>
      </c>
      <c r="Z27" s="1278">
        <v>32.25</v>
      </c>
      <c r="AA27" s="1279">
        <v>32.85</v>
      </c>
      <c r="AB27" s="1280">
        <v>33.44</v>
      </c>
      <c r="AC27" s="1281">
        <v>34.03</v>
      </c>
      <c r="AD27" s="1281">
        <v>34.619999999999997</v>
      </c>
      <c r="AE27" s="1285">
        <v>35.21</v>
      </c>
      <c r="AF27" s="1282">
        <v>35.799999999999997</v>
      </c>
      <c r="AG27" s="1288">
        <v>36.39</v>
      </c>
      <c r="AH27" s="1288">
        <v>36.979999999999997</v>
      </c>
      <c r="AI27" s="1288">
        <v>37.57</v>
      </c>
      <c r="AJ27" s="1288">
        <v>38.17</v>
      </c>
      <c r="AK27" s="1288">
        <v>38.76</v>
      </c>
      <c r="AL27" s="1288">
        <v>39.35</v>
      </c>
      <c r="AM27" s="1289">
        <v>39.94</v>
      </c>
      <c r="AN27" s="1289">
        <v>40.53</v>
      </c>
      <c r="AO27" s="1289">
        <v>41.12</v>
      </c>
      <c r="AP27" s="1289">
        <v>41.71</v>
      </c>
      <c r="AQ27" s="1289">
        <v>31.07</v>
      </c>
      <c r="AR27" s="1289">
        <v>30.48</v>
      </c>
      <c r="AS27" s="1289">
        <v>23.85</v>
      </c>
      <c r="AT27" s="1289">
        <v>23.26</v>
      </c>
      <c r="AU27" s="1289">
        <v>22.67</v>
      </c>
    </row>
    <row r="28" spans="1:47">
      <c r="A28" s="1277">
        <v>54.12</v>
      </c>
      <c r="B28" s="1278">
        <v>55</v>
      </c>
      <c r="C28" s="1279">
        <v>55.87</v>
      </c>
      <c r="D28" s="1280">
        <v>56.74</v>
      </c>
      <c r="E28" s="1281">
        <v>57.62</v>
      </c>
      <c r="F28" s="1281">
        <v>58.49</v>
      </c>
      <c r="G28" s="1281">
        <v>59.36</v>
      </c>
      <c r="H28" s="1282">
        <v>60.24</v>
      </c>
      <c r="I28" s="1288">
        <v>61.11</v>
      </c>
      <c r="J28" s="1288">
        <v>61.98</v>
      </c>
      <c r="K28" s="1288">
        <v>62.86</v>
      </c>
      <c r="L28" s="1288">
        <v>66.34</v>
      </c>
      <c r="M28" s="1288">
        <v>64.61</v>
      </c>
      <c r="N28" s="1288">
        <v>65.48</v>
      </c>
      <c r="O28" s="1289">
        <v>66.349999999999994</v>
      </c>
      <c r="P28" s="1289">
        <v>67.23</v>
      </c>
      <c r="Q28" s="1289">
        <v>68.099999999999994</v>
      </c>
      <c r="R28" s="1289">
        <v>68.97</v>
      </c>
      <c r="S28" s="1289">
        <v>53.25</v>
      </c>
      <c r="T28" s="1289">
        <v>52.38</v>
      </c>
      <c r="U28" s="1289">
        <v>38.9</v>
      </c>
      <c r="V28" s="1289">
        <v>38.03</v>
      </c>
      <c r="W28" s="1289">
        <v>37.15</v>
      </c>
      <c r="X28" s="62">
        <v>24</v>
      </c>
      <c r="Y28" s="1277">
        <v>33.01</v>
      </c>
      <c r="Z28" s="1278">
        <v>33.630000000000003</v>
      </c>
      <c r="AA28" s="1279">
        <v>34.24</v>
      </c>
      <c r="AB28" s="1280">
        <v>34.86</v>
      </c>
      <c r="AC28" s="1281">
        <v>35.479999999999997</v>
      </c>
      <c r="AD28" s="1281">
        <v>36.090000000000003</v>
      </c>
      <c r="AE28" s="1285">
        <v>36.71</v>
      </c>
      <c r="AF28" s="1282">
        <v>37.33</v>
      </c>
      <c r="AG28" s="1288">
        <v>37.94</v>
      </c>
      <c r="AH28" s="1288">
        <v>38.56</v>
      </c>
      <c r="AI28" s="1288">
        <v>39.18</v>
      </c>
      <c r="AJ28" s="1288">
        <v>39.79</v>
      </c>
      <c r="AK28" s="1288">
        <v>40.409999999999997</v>
      </c>
      <c r="AL28" s="1288">
        <v>41.03</v>
      </c>
      <c r="AM28" s="1289">
        <v>41.65</v>
      </c>
      <c r="AN28" s="1289">
        <v>42.26</v>
      </c>
      <c r="AO28" s="1289">
        <v>42.88</v>
      </c>
      <c r="AP28" s="1289">
        <v>43.5</v>
      </c>
      <c r="AQ28" s="1289">
        <v>32.39</v>
      </c>
      <c r="AR28" s="1289">
        <v>31.78</v>
      </c>
      <c r="AS28" s="1289">
        <v>24.87</v>
      </c>
      <c r="AT28" s="1289">
        <v>24.25</v>
      </c>
      <c r="AU28" s="1289">
        <v>23.63</v>
      </c>
    </row>
    <row r="29" spans="1:47">
      <c r="A29" s="1277">
        <v>56.33</v>
      </c>
      <c r="B29" s="1278">
        <v>57.24</v>
      </c>
      <c r="C29" s="1279">
        <v>58.15</v>
      </c>
      <c r="D29" s="1280">
        <v>59.06</v>
      </c>
      <c r="E29" s="1281">
        <v>59.97</v>
      </c>
      <c r="F29" s="1281">
        <v>60.88</v>
      </c>
      <c r="G29" s="1281">
        <v>61.79</v>
      </c>
      <c r="H29" s="1282">
        <v>62.7</v>
      </c>
      <c r="I29" s="1288">
        <v>63.61</v>
      </c>
      <c r="J29" s="1288">
        <v>64.52</v>
      </c>
      <c r="K29" s="1288">
        <v>65.430000000000007</v>
      </c>
      <c r="L29" s="1288">
        <v>68.94</v>
      </c>
      <c r="M29" s="1288">
        <v>67.25</v>
      </c>
      <c r="N29" s="1288">
        <v>68.16</v>
      </c>
      <c r="O29" s="1289">
        <v>69.069999999999993</v>
      </c>
      <c r="P29" s="1289">
        <v>69.98</v>
      </c>
      <c r="Q29" s="1289">
        <v>70.89</v>
      </c>
      <c r="R29" s="1289">
        <v>71.8</v>
      </c>
      <c r="S29" s="1289">
        <v>55.42</v>
      </c>
      <c r="T29" s="1289">
        <v>54.51</v>
      </c>
      <c r="U29" s="1289">
        <v>40.49</v>
      </c>
      <c r="V29" s="1289">
        <v>39.58</v>
      </c>
      <c r="W29" s="1289">
        <v>38.67</v>
      </c>
      <c r="X29" s="62">
        <v>25</v>
      </c>
      <c r="Y29" s="1277">
        <v>34.36</v>
      </c>
      <c r="Z29" s="1278">
        <v>35</v>
      </c>
      <c r="AA29" s="1279">
        <v>35.65</v>
      </c>
      <c r="AB29" s="1280">
        <v>36.29</v>
      </c>
      <c r="AC29" s="1281">
        <v>36.93</v>
      </c>
      <c r="AD29" s="1281">
        <v>37.57</v>
      </c>
      <c r="AE29" s="1285">
        <v>38.22</v>
      </c>
      <c r="AF29" s="1282">
        <v>38.86</v>
      </c>
      <c r="AG29" s="1288">
        <v>39.5</v>
      </c>
      <c r="AH29" s="1288">
        <v>40.14</v>
      </c>
      <c r="AI29" s="1288">
        <v>40.79</v>
      </c>
      <c r="AJ29" s="1288">
        <v>41.43</v>
      </c>
      <c r="AK29" s="1288">
        <v>42.07</v>
      </c>
      <c r="AL29" s="1288">
        <v>42.71</v>
      </c>
      <c r="AM29" s="1289">
        <v>43.36</v>
      </c>
      <c r="AN29" s="1289">
        <v>44</v>
      </c>
      <c r="AO29" s="1289">
        <v>44.64</v>
      </c>
      <c r="AP29" s="1289">
        <v>45.28</v>
      </c>
      <c r="AQ29" s="1289">
        <v>33.72</v>
      </c>
      <c r="AR29" s="1289">
        <v>33.08</v>
      </c>
      <c r="AS29" s="1289">
        <v>25.89</v>
      </c>
      <c r="AT29" s="1289">
        <v>25.25</v>
      </c>
      <c r="AU29" s="1289">
        <v>24.6</v>
      </c>
    </row>
    <row r="30" spans="1:47">
      <c r="A30" s="1277">
        <v>58.53</v>
      </c>
      <c r="B30" s="1278">
        <v>59.48</v>
      </c>
      <c r="C30" s="1279">
        <v>60.42</v>
      </c>
      <c r="D30" s="1280">
        <v>61.37</v>
      </c>
      <c r="E30" s="1281">
        <v>62.31</v>
      </c>
      <c r="F30" s="1281">
        <v>63.26</v>
      </c>
      <c r="G30" s="1281">
        <v>64.209999999999994</v>
      </c>
      <c r="H30" s="1282">
        <v>65.150000000000006</v>
      </c>
      <c r="I30" s="1288">
        <v>66.099999999999994</v>
      </c>
      <c r="J30" s="1288">
        <v>67.05</v>
      </c>
      <c r="K30" s="1288">
        <v>67.989999999999995</v>
      </c>
      <c r="L30" s="1288">
        <v>71.540000000000006</v>
      </c>
      <c r="M30" s="1288">
        <v>69.89</v>
      </c>
      <c r="N30" s="1288">
        <v>70.83</v>
      </c>
      <c r="O30" s="1289">
        <v>71.790000000000006</v>
      </c>
      <c r="P30" s="1289">
        <v>72.72</v>
      </c>
      <c r="Q30" s="1289">
        <v>73.67</v>
      </c>
      <c r="R30" s="1289">
        <v>84.62</v>
      </c>
      <c r="S30" s="1289">
        <v>57.58</v>
      </c>
      <c r="T30" s="1289">
        <v>56.64</v>
      </c>
      <c r="U30" s="1289">
        <v>42.08</v>
      </c>
      <c r="V30" s="1289">
        <v>41.13</v>
      </c>
      <c r="W30" s="1289">
        <v>40.19</v>
      </c>
      <c r="X30" s="62">
        <v>26</v>
      </c>
      <c r="Y30" s="1277">
        <v>35.71</v>
      </c>
      <c r="Z30" s="1278">
        <v>36.380000000000003</v>
      </c>
      <c r="AA30" s="1279">
        <v>37.04</v>
      </c>
      <c r="AB30" s="1280">
        <v>37.71</v>
      </c>
      <c r="AC30" s="1281">
        <v>38.380000000000003</v>
      </c>
      <c r="AD30" s="1281">
        <v>39.049999999999997</v>
      </c>
      <c r="AE30" s="1285">
        <v>39.72</v>
      </c>
      <c r="AF30" s="1282">
        <v>40.39</v>
      </c>
      <c r="AG30" s="1288">
        <v>41.05</v>
      </c>
      <c r="AH30" s="1288">
        <v>41.72</v>
      </c>
      <c r="AI30" s="1288">
        <v>42.39</v>
      </c>
      <c r="AJ30" s="1288">
        <v>43.06</v>
      </c>
      <c r="AK30" s="1288">
        <v>43.73</v>
      </c>
      <c r="AL30" s="1288">
        <v>44.39</v>
      </c>
      <c r="AM30" s="1289">
        <v>45.06</v>
      </c>
      <c r="AN30" s="1289">
        <v>45.73</v>
      </c>
      <c r="AO30" s="1289">
        <v>46.4</v>
      </c>
      <c r="AP30" s="1289">
        <v>47.07</v>
      </c>
      <c r="AQ30" s="1289">
        <v>35.04</v>
      </c>
      <c r="AR30" s="1289">
        <v>34.369999999999997</v>
      </c>
      <c r="AS30" s="1289">
        <v>26.91</v>
      </c>
      <c r="AT30" s="1289">
        <v>26.24</v>
      </c>
      <c r="AU30" s="1289">
        <v>25.57</v>
      </c>
    </row>
    <row r="31" spans="1:47">
      <c r="A31" s="1277">
        <v>60.73</v>
      </c>
      <c r="B31" s="1278">
        <v>61.72</v>
      </c>
      <c r="C31" s="1279">
        <v>62.7</v>
      </c>
      <c r="D31" s="1280">
        <v>63.68</v>
      </c>
      <c r="E31" s="1281">
        <v>64.66</v>
      </c>
      <c r="F31" s="1281">
        <v>65.650000000000006</v>
      </c>
      <c r="G31" s="1281">
        <v>66.63</v>
      </c>
      <c r="H31" s="1282">
        <v>67.61</v>
      </c>
      <c r="I31" s="1288">
        <v>68.599999999999994</v>
      </c>
      <c r="J31" s="1288">
        <v>69.58</v>
      </c>
      <c r="K31" s="1288">
        <v>70.56</v>
      </c>
      <c r="L31" s="1288">
        <v>74.150000000000006</v>
      </c>
      <c r="M31" s="1288">
        <v>72.53</v>
      </c>
      <c r="N31" s="1288">
        <v>73.510000000000005</v>
      </c>
      <c r="O31" s="1289">
        <v>74.489999999999995</v>
      </c>
      <c r="P31" s="1289">
        <v>75.48</v>
      </c>
      <c r="Q31" s="1289">
        <v>76.459999999999994</v>
      </c>
      <c r="R31" s="1289">
        <v>77.44</v>
      </c>
      <c r="S31" s="1289">
        <v>59.75</v>
      </c>
      <c r="T31" s="1289">
        <v>58.77</v>
      </c>
      <c r="U31" s="1289">
        <v>43.67</v>
      </c>
      <c r="V31" s="1289">
        <v>42.69</v>
      </c>
      <c r="W31" s="1289">
        <v>41.71</v>
      </c>
      <c r="X31" s="62">
        <v>27</v>
      </c>
      <c r="Y31" s="1277">
        <v>37.06</v>
      </c>
      <c r="Z31" s="1278">
        <v>37.75</v>
      </c>
      <c r="AA31" s="1279">
        <v>38.450000000000003</v>
      </c>
      <c r="AB31" s="1280">
        <v>39.14</v>
      </c>
      <c r="AC31" s="1281">
        <v>39.83</v>
      </c>
      <c r="AD31" s="1281">
        <v>40.53</v>
      </c>
      <c r="AE31" s="1285">
        <v>41.22</v>
      </c>
      <c r="AF31" s="1282">
        <v>41.92</v>
      </c>
      <c r="AG31" s="1288">
        <v>42.61</v>
      </c>
      <c r="AH31" s="1288">
        <v>43.3</v>
      </c>
      <c r="AI31" s="1288">
        <v>44</v>
      </c>
      <c r="AJ31" s="1288">
        <v>44.69</v>
      </c>
      <c r="AK31" s="1288">
        <v>45.39</v>
      </c>
      <c r="AL31" s="1288">
        <v>46.08</v>
      </c>
      <c r="AM31" s="1289">
        <v>46.77</v>
      </c>
      <c r="AN31" s="1289">
        <v>47.47</v>
      </c>
      <c r="AO31" s="1289">
        <v>48.16</v>
      </c>
      <c r="AP31" s="1289">
        <v>48.85</v>
      </c>
      <c r="AQ31" s="1289">
        <v>36.36</v>
      </c>
      <c r="AR31" s="1289">
        <v>35.67</v>
      </c>
      <c r="AS31" s="1289">
        <v>27.93</v>
      </c>
      <c r="AT31" s="1289">
        <v>27.23</v>
      </c>
      <c r="AU31" s="1289">
        <v>26.54</v>
      </c>
    </row>
    <row r="32" spans="1:47">
      <c r="A32" s="1277">
        <v>62.94</v>
      </c>
      <c r="B32" s="1278">
        <v>63.96</v>
      </c>
      <c r="C32" s="1279">
        <v>64.98</v>
      </c>
      <c r="D32" s="1280">
        <v>66</v>
      </c>
      <c r="E32" s="1281">
        <v>67.02</v>
      </c>
      <c r="F32" s="1281">
        <v>68.03</v>
      </c>
      <c r="G32" s="1281">
        <v>69.05</v>
      </c>
      <c r="H32" s="1282">
        <v>70.069999999999993</v>
      </c>
      <c r="I32" s="1288">
        <v>71.09</v>
      </c>
      <c r="J32" s="1288">
        <v>72.11</v>
      </c>
      <c r="K32" s="1288">
        <v>73.33</v>
      </c>
      <c r="L32" s="1288">
        <v>76.739999999999995</v>
      </c>
      <c r="M32" s="1288">
        <v>75.17</v>
      </c>
      <c r="N32" s="1288">
        <v>76.19</v>
      </c>
      <c r="O32" s="1289">
        <v>77.209999999999994</v>
      </c>
      <c r="P32" s="1289">
        <v>78.23</v>
      </c>
      <c r="Q32" s="1289">
        <v>79.25</v>
      </c>
      <c r="R32" s="1289">
        <v>80.27</v>
      </c>
      <c r="S32" s="1289">
        <v>61.92</v>
      </c>
      <c r="T32" s="1289">
        <v>60.9</v>
      </c>
      <c r="U32" s="1289">
        <v>45.26</v>
      </c>
      <c r="V32" s="1289">
        <v>44.24</v>
      </c>
      <c r="W32" s="1289">
        <v>43.23</v>
      </c>
      <c r="X32" s="62">
        <v>28</v>
      </c>
      <c r="Y32" s="1277">
        <v>38.409999999999997</v>
      </c>
      <c r="Z32" s="1278">
        <v>39.130000000000003</v>
      </c>
      <c r="AA32" s="1279">
        <v>39.85</v>
      </c>
      <c r="AB32" s="1280">
        <v>40.57</v>
      </c>
      <c r="AC32" s="1281">
        <v>41.29</v>
      </c>
      <c r="AD32" s="1281">
        <v>42.01</v>
      </c>
      <c r="AE32" s="1285">
        <v>42.73</v>
      </c>
      <c r="AF32" s="1282">
        <v>43.45</v>
      </c>
      <c r="AG32" s="1288">
        <v>44.17</v>
      </c>
      <c r="AH32" s="1288">
        <v>44.89</v>
      </c>
      <c r="AI32" s="1288">
        <v>45.61</v>
      </c>
      <c r="AJ32" s="1288">
        <v>46.33</v>
      </c>
      <c r="AK32" s="1288">
        <v>47.05</v>
      </c>
      <c r="AL32" s="1288">
        <v>47.77</v>
      </c>
      <c r="AM32" s="1289">
        <v>48.49</v>
      </c>
      <c r="AN32" s="1289">
        <v>49.21</v>
      </c>
      <c r="AO32" s="1289">
        <v>49.92</v>
      </c>
      <c r="AP32" s="1289">
        <v>50.64</v>
      </c>
      <c r="AQ32" s="1289">
        <v>37.69</v>
      </c>
      <c r="AR32" s="1289">
        <v>36.97</v>
      </c>
      <c r="AS32" s="1289">
        <v>28.95</v>
      </c>
      <c r="AT32" s="1289">
        <v>28.23</v>
      </c>
      <c r="AU32" s="1289">
        <v>27.51</v>
      </c>
    </row>
    <row r="33" spans="1:47">
      <c r="A33" s="1277">
        <v>65.13</v>
      </c>
      <c r="B33" s="1278">
        <v>66.180000000000007</v>
      </c>
      <c r="C33" s="1279">
        <v>67.239999999999995</v>
      </c>
      <c r="D33" s="1280">
        <v>68.290000000000006</v>
      </c>
      <c r="E33" s="1281">
        <v>69.349999999999994</v>
      </c>
      <c r="F33" s="1281">
        <v>70.400000000000006</v>
      </c>
      <c r="G33" s="1281">
        <v>71.459999999999994</v>
      </c>
      <c r="H33" s="1282">
        <v>75.52</v>
      </c>
      <c r="I33" s="1288">
        <v>73.569999999999993</v>
      </c>
      <c r="J33" s="1288">
        <v>74.63</v>
      </c>
      <c r="K33" s="1288">
        <v>75.680000000000007</v>
      </c>
      <c r="L33" s="1288">
        <v>79.349999999999994</v>
      </c>
      <c r="M33" s="1288">
        <v>77.790000000000006</v>
      </c>
      <c r="N33" s="1288">
        <v>78.849999999999994</v>
      </c>
      <c r="O33" s="1289">
        <v>79.900000000000006</v>
      </c>
      <c r="P33" s="1289">
        <v>80.959999999999994</v>
      </c>
      <c r="Q33" s="1289">
        <v>82.02</v>
      </c>
      <c r="R33" s="1289">
        <v>83.07</v>
      </c>
      <c r="S33" s="1289">
        <v>64.069999999999993</v>
      </c>
      <c r="T33" s="1289">
        <v>63.02</v>
      </c>
      <c r="U33" s="1289">
        <v>46.85</v>
      </c>
      <c r="V33" s="1289">
        <v>45.79</v>
      </c>
      <c r="W33" s="1289">
        <v>44.73</v>
      </c>
      <c r="X33" s="62">
        <v>29</v>
      </c>
      <c r="Y33" s="1277">
        <v>39.76</v>
      </c>
      <c r="Z33" s="1278">
        <v>40.5</v>
      </c>
      <c r="AA33" s="1279">
        <v>41.25</v>
      </c>
      <c r="AB33" s="1280">
        <v>41.99</v>
      </c>
      <c r="AC33" s="1281">
        <v>42.74</v>
      </c>
      <c r="AD33" s="1281">
        <v>43.48</v>
      </c>
      <c r="AE33" s="1285">
        <v>44.23</v>
      </c>
      <c r="AF33" s="1282">
        <v>44.97</v>
      </c>
      <c r="AG33" s="1288">
        <v>45.72</v>
      </c>
      <c r="AH33" s="1288">
        <v>46.46</v>
      </c>
      <c r="AI33" s="1288">
        <v>47.21</v>
      </c>
      <c r="AJ33" s="1288">
        <v>47.96</v>
      </c>
      <c r="AK33" s="1288">
        <v>48.7</v>
      </c>
      <c r="AL33" s="1288">
        <v>49.45</v>
      </c>
      <c r="AM33" s="1289">
        <v>50.19</v>
      </c>
      <c r="AN33" s="1289">
        <v>50.94</v>
      </c>
      <c r="AO33" s="1289">
        <v>51.68</v>
      </c>
      <c r="AP33" s="1289">
        <v>52.43</v>
      </c>
      <c r="AQ33" s="1289">
        <v>39.01</v>
      </c>
      <c r="AR33" s="1289">
        <v>38.270000000000003</v>
      </c>
      <c r="AS33" s="1289">
        <v>29.97</v>
      </c>
      <c r="AT33" s="1289">
        <v>29.22</v>
      </c>
      <c r="AU33" s="1289">
        <v>28.48</v>
      </c>
    </row>
    <row r="34" spans="1:47">
      <c r="A34" s="1277">
        <v>67.34</v>
      </c>
      <c r="B34" s="1278">
        <v>68.430000000000007</v>
      </c>
      <c r="C34" s="1279">
        <v>69.53</v>
      </c>
      <c r="D34" s="1280">
        <v>70.62</v>
      </c>
      <c r="E34" s="1281">
        <v>71.709999999999994</v>
      </c>
      <c r="F34" s="1281">
        <v>72.8</v>
      </c>
      <c r="G34" s="1281">
        <v>73.89</v>
      </c>
      <c r="H34" s="1282">
        <v>74.989999999999995</v>
      </c>
      <c r="I34" s="1288">
        <v>76.08</v>
      </c>
      <c r="J34" s="1288">
        <v>77.17</v>
      </c>
      <c r="K34" s="1288">
        <v>78.260000000000005</v>
      </c>
      <c r="L34" s="1288">
        <v>81.94</v>
      </c>
      <c r="M34" s="1288">
        <v>80.45</v>
      </c>
      <c r="N34" s="1288">
        <v>81.540000000000006</v>
      </c>
      <c r="O34" s="1289">
        <v>82.63</v>
      </c>
      <c r="P34" s="1289">
        <v>83.72</v>
      </c>
      <c r="Q34" s="1289">
        <v>84.81</v>
      </c>
      <c r="R34" s="1289">
        <v>85.91</v>
      </c>
      <c r="S34" s="1289">
        <v>66.25</v>
      </c>
      <c r="T34" s="1289">
        <v>65.16</v>
      </c>
      <c r="U34" s="1289">
        <v>48.44</v>
      </c>
      <c r="V34" s="1289">
        <v>47.35</v>
      </c>
      <c r="W34" s="1289">
        <v>46.26</v>
      </c>
      <c r="X34" s="62">
        <v>30</v>
      </c>
      <c r="Y34" s="1277">
        <v>41.11</v>
      </c>
      <c r="Z34" s="1278">
        <v>41.88</v>
      </c>
      <c r="AA34" s="1279">
        <v>42.65</v>
      </c>
      <c r="AB34" s="1280">
        <v>43.42</v>
      </c>
      <c r="AC34" s="1281">
        <v>44.19</v>
      </c>
      <c r="AD34" s="1281">
        <v>44.96</v>
      </c>
      <c r="AE34" s="1285">
        <v>45.74</v>
      </c>
      <c r="AF34" s="1282">
        <v>46.51</v>
      </c>
      <c r="AG34" s="1288">
        <v>47.28</v>
      </c>
      <c r="AH34" s="1288">
        <v>48.05</v>
      </c>
      <c r="AI34" s="1288">
        <v>48.82</v>
      </c>
      <c r="AJ34" s="1288">
        <v>49.59</v>
      </c>
      <c r="AK34" s="1288">
        <v>50.36</v>
      </c>
      <c r="AL34" s="1288">
        <v>51.13</v>
      </c>
      <c r="AM34" s="1289">
        <v>51.9</v>
      </c>
      <c r="AN34" s="1289">
        <v>52.67</v>
      </c>
      <c r="AO34" s="1289">
        <v>53.45</v>
      </c>
      <c r="AP34" s="1289">
        <v>54.22</v>
      </c>
      <c r="AQ34" s="1289">
        <v>40.340000000000003</v>
      </c>
      <c r="AR34" s="1289">
        <v>39.57</v>
      </c>
      <c r="AS34" s="1289">
        <v>30.99</v>
      </c>
      <c r="AT34" s="1289">
        <v>30.22</v>
      </c>
      <c r="AU34" s="1289">
        <v>29.45</v>
      </c>
    </row>
    <row r="35" spans="1:47">
      <c r="A35" s="1277">
        <v>63.53</v>
      </c>
      <c r="B35" s="1278">
        <v>70.66</v>
      </c>
      <c r="C35" s="1279">
        <v>71.790000000000006</v>
      </c>
      <c r="D35" s="1280">
        <v>72.92</v>
      </c>
      <c r="E35" s="1281">
        <v>74.05</v>
      </c>
      <c r="F35" s="1281">
        <v>75.17</v>
      </c>
      <c r="G35" s="1281">
        <v>76.3</v>
      </c>
      <c r="H35" s="1282">
        <v>77.430000000000007</v>
      </c>
      <c r="I35" s="1288">
        <v>78.56</v>
      </c>
      <c r="J35" s="1288">
        <v>79.69</v>
      </c>
      <c r="K35" s="1288">
        <v>80.819999999999993</v>
      </c>
      <c r="L35" s="1288">
        <v>84.56</v>
      </c>
      <c r="M35" s="1288">
        <v>83.07</v>
      </c>
      <c r="N35" s="1288">
        <v>84.2</v>
      </c>
      <c r="O35" s="1289">
        <v>85.33</v>
      </c>
      <c r="P35" s="1289">
        <v>86.46</v>
      </c>
      <c r="Q35" s="1289">
        <v>87.59</v>
      </c>
      <c r="R35" s="1289">
        <v>88.71</v>
      </c>
      <c r="S35" s="1289">
        <v>68.400000000000006</v>
      </c>
      <c r="T35" s="1289">
        <v>67.27</v>
      </c>
      <c r="U35" s="1289">
        <v>50.03</v>
      </c>
      <c r="V35" s="1289">
        <v>48.9</v>
      </c>
      <c r="W35" s="1289">
        <v>47.77</v>
      </c>
      <c r="X35" s="62">
        <v>31</v>
      </c>
      <c r="Y35" s="1277">
        <v>42.46</v>
      </c>
      <c r="Z35" s="1278">
        <v>43.25</v>
      </c>
      <c r="AA35" s="1279">
        <v>44.05</v>
      </c>
      <c r="AB35" s="1280">
        <v>44.85</v>
      </c>
      <c r="AC35" s="1281">
        <v>45.64</v>
      </c>
      <c r="AD35" s="1281">
        <v>46.44</v>
      </c>
      <c r="AE35" s="1285">
        <v>47.24</v>
      </c>
      <c r="AF35" s="1282">
        <v>48.03</v>
      </c>
      <c r="AG35" s="1288">
        <v>48.83</v>
      </c>
      <c r="AH35" s="1288">
        <v>49.63</v>
      </c>
      <c r="AI35" s="1288">
        <v>50.42</v>
      </c>
      <c r="AJ35" s="1288">
        <v>51.22</v>
      </c>
      <c r="AK35" s="1288">
        <v>52.02</v>
      </c>
      <c r="AL35" s="1288">
        <v>52.81</v>
      </c>
      <c r="AM35" s="1289">
        <v>53.61</v>
      </c>
      <c r="AN35" s="1289">
        <v>54.41</v>
      </c>
      <c r="AO35" s="1289">
        <v>55.21</v>
      </c>
      <c r="AP35" s="1289">
        <v>56</v>
      </c>
      <c r="AQ35" s="1289">
        <v>41.66</v>
      </c>
      <c r="AR35" s="1289">
        <v>40.86</v>
      </c>
      <c r="AS35" s="1289">
        <v>32.01</v>
      </c>
      <c r="AT35" s="1289">
        <v>31.21</v>
      </c>
      <c r="AU35" s="1289">
        <v>30.42</v>
      </c>
    </row>
    <row r="36" spans="1:47">
      <c r="A36" s="1290">
        <v>71.75</v>
      </c>
      <c r="B36" s="1291">
        <v>72.91</v>
      </c>
      <c r="C36" s="1292">
        <v>74.08</v>
      </c>
      <c r="D36" s="1293">
        <v>75.239999999999995</v>
      </c>
      <c r="E36" s="1294">
        <v>76.41</v>
      </c>
      <c r="F36" s="1294">
        <v>77.569999999999993</v>
      </c>
      <c r="G36" s="1294">
        <v>78.739999999999995</v>
      </c>
      <c r="H36" s="1295">
        <v>79.900000000000006</v>
      </c>
      <c r="I36" s="1288">
        <v>81.069999999999993</v>
      </c>
      <c r="J36" s="1288">
        <v>82.23</v>
      </c>
      <c r="K36" s="1288">
        <v>83.4</v>
      </c>
      <c r="L36" s="1288">
        <v>87.16</v>
      </c>
      <c r="M36" s="1288">
        <v>85.73</v>
      </c>
      <c r="N36" s="1288">
        <v>86.89</v>
      </c>
      <c r="O36" s="1289">
        <v>88.05</v>
      </c>
      <c r="P36" s="1289">
        <v>89.22</v>
      </c>
      <c r="Q36" s="1289">
        <v>90.38</v>
      </c>
      <c r="R36" s="1289">
        <v>91.55</v>
      </c>
      <c r="S36" s="1289">
        <v>70.58</v>
      </c>
      <c r="T36" s="1289">
        <v>69.42</v>
      </c>
      <c r="U36" s="1289">
        <v>51.62</v>
      </c>
      <c r="V36" s="1289">
        <v>50.46</v>
      </c>
      <c r="W36" s="1289">
        <v>49.29</v>
      </c>
      <c r="X36" s="62">
        <v>32</v>
      </c>
      <c r="Y36" s="1290">
        <v>43.81</v>
      </c>
      <c r="Z36" s="1291">
        <v>44.63</v>
      </c>
      <c r="AA36" s="1279">
        <v>45.45</v>
      </c>
      <c r="AB36" s="1293">
        <v>46.27</v>
      </c>
      <c r="AC36" s="1281">
        <v>47.1</v>
      </c>
      <c r="AD36" s="1294">
        <v>47.92</v>
      </c>
      <c r="AE36" s="1285">
        <v>48.74</v>
      </c>
      <c r="AF36" s="1295">
        <v>49.56</v>
      </c>
      <c r="AG36" s="1288">
        <v>50.39</v>
      </c>
      <c r="AH36" s="1288">
        <v>51.21</v>
      </c>
      <c r="AI36" s="1288">
        <v>52.03</v>
      </c>
      <c r="AJ36" s="1288">
        <v>52.85</v>
      </c>
      <c r="AK36" s="1288">
        <v>53.68</v>
      </c>
      <c r="AL36" s="1288">
        <v>54.5</v>
      </c>
      <c r="AM36" s="1289">
        <v>55.32</v>
      </c>
      <c r="AN36" s="1289">
        <v>56.14</v>
      </c>
      <c r="AO36" s="1289">
        <v>56.97</v>
      </c>
      <c r="AP36" s="1289">
        <v>57.79</v>
      </c>
      <c r="AQ36" s="1289">
        <v>42.98</v>
      </c>
      <c r="AR36" s="1289">
        <v>42.16</v>
      </c>
      <c r="AS36" s="1289">
        <v>33.03</v>
      </c>
      <c r="AT36" s="1289">
        <v>32.21</v>
      </c>
      <c r="AU36" s="1289">
        <v>31.38</v>
      </c>
    </row>
    <row r="37" spans="1:47">
      <c r="A37" s="1296">
        <v>73.95</v>
      </c>
      <c r="B37" s="1297">
        <v>75.150000000000006</v>
      </c>
      <c r="C37" s="1298">
        <v>76.349999999999994</v>
      </c>
      <c r="D37" s="1299">
        <v>77.55</v>
      </c>
      <c r="E37" s="1300">
        <v>78.760000000000005</v>
      </c>
      <c r="F37" s="1300">
        <v>79.959999999999994</v>
      </c>
      <c r="G37" s="1300">
        <v>81.16</v>
      </c>
      <c r="H37" s="1301">
        <v>82.36</v>
      </c>
      <c r="I37" s="1288">
        <v>83.56</v>
      </c>
      <c r="J37" s="1288">
        <v>84.76</v>
      </c>
      <c r="K37" s="1288">
        <v>85.96</v>
      </c>
      <c r="L37" s="1288">
        <v>89.77</v>
      </c>
      <c r="M37" s="1288">
        <v>88.37</v>
      </c>
      <c r="N37" s="1288">
        <v>89.57</v>
      </c>
      <c r="O37" s="1289">
        <v>90.77</v>
      </c>
      <c r="P37" s="1289">
        <v>91.97</v>
      </c>
      <c r="Q37" s="1289">
        <v>93.17</v>
      </c>
      <c r="R37" s="1289">
        <v>94.37</v>
      </c>
      <c r="S37" s="1289">
        <v>72.75</v>
      </c>
      <c r="T37" s="1289">
        <v>71.55</v>
      </c>
      <c r="U37" s="1289">
        <v>53.21</v>
      </c>
      <c r="V37" s="1289">
        <v>52.01</v>
      </c>
      <c r="W37" s="1289">
        <v>50.81</v>
      </c>
      <c r="X37" s="62">
        <v>33</v>
      </c>
      <c r="Y37" s="1296">
        <v>45.16</v>
      </c>
      <c r="Z37" s="1297">
        <v>46</v>
      </c>
      <c r="AA37" s="1292">
        <v>46.85</v>
      </c>
      <c r="AB37" s="1299">
        <v>47.7</v>
      </c>
      <c r="AC37" s="1300">
        <v>48.55</v>
      </c>
      <c r="AD37" s="1300">
        <v>49.4</v>
      </c>
      <c r="AE37" s="1285">
        <v>50.24</v>
      </c>
      <c r="AF37" s="1301">
        <v>51.09</v>
      </c>
      <c r="AG37" s="1288">
        <v>51.94</v>
      </c>
      <c r="AH37" s="1288">
        <v>52.79</v>
      </c>
      <c r="AI37" s="1288">
        <v>53.64</v>
      </c>
      <c r="AJ37" s="1288">
        <v>54.49</v>
      </c>
      <c r="AK37" s="1288">
        <v>55.33</v>
      </c>
      <c r="AL37" s="1288">
        <v>56.18</v>
      </c>
      <c r="AM37" s="1289">
        <v>57.03</v>
      </c>
      <c r="AN37" s="1289">
        <v>57.88</v>
      </c>
      <c r="AO37" s="1289">
        <v>58.73</v>
      </c>
      <c r="AP37" s="1289">
        <v>59.57</v>
      </c>
      <c r="AQ37" s="1289">
        <v>44.31</v>
      </c>
      <c r="AR37" s="1289">
        <v>43.46</v>
      </c>
      <c r="AS37" s="1289">
        <v>34.049999999999997</v>
      </c>
      <c r="AT37" s="1289">
        <v>33.200000000000003</v>
      </c>
      <c r="AU37" s="1289">
        <v>32.35</v>
      </c>
    </row>
    <row r="38" spans="1:47">
      <c r="A38" s="1296">
        <v>76.16</v>
      </c>
      <c r="B38" s="1297">
        <v>77.400000000000006</v>
      </c>
      <c r="C38" s="1298">
        <v>78.63</v>
      </c>
      <c r="D38" s="1299">
        <v>79.87</v>
      </c>
      <c r="E38" s="1300">
        <v>81.11</v>
      </c>
      <c r="F38" s="1300">
        <v>82.35</v>
      </c>
      <c r="G38" s="1300">
        <v>83.58</v>
      </c>
      <c r="H38" s="1301">
        <v>84.82</v>
      </c>
      <c r="I38" s="1288">
        <v>86.06</v>
      </c>
      <c r="J38" s="1288">
        <v>87.3</v>
      </c>
      <c r="K38" s="1288">
        <v>88.53</v>
      </c>
      <c r="L38" s="1288">
        <v>92.36</v>
      </c>
      <c r="M38" s="1288">
        <v>91.01</v>
      </c>
      <c r="N38" s="1288">
        <v>92.25</v>
      </c>
      <c r="O38" s="1289">
        <v>93.48</v>
      </c>
      <c r="P38" s="1289">
        <v>94.72</v>
      </c>
      <c r="Q38" s="1289">
        <v>95.96</v>
      </c>
      <c r="R38" s="1289">
        <v>97.2</v>
      </c>
      <c r="S38" s="1289">
        <v>74.92</v>
      </c>
      <c r="T38" s="1289">
        <v>73.680000000000007</v>
      </c>
      <c r="U38" s="1289">
        <v>54.81</v>
      </c>
      <c r="V38" s="1289">
        <v>53.57</v>
      </c>
      <c r="W38" s="1289">
        <v>52.33</v>
      </c>
      <c r="X38" s="62">
        <v>34</v>
      </c>
      <c r="Y38" s="1296">
        <v>46.51</v>
      </c>
      <c r="Z38" s="1297">
        <v>47.38</v>
      </c>
      <c r="AA38" s="1298">
        <v>48.25</v>
      </c>
      <c r="AB38" s="1299">
        <v>49.13</v>
      </c>
      <c r="AC38" s="1300">
        <v>50</v>
      </c>
      <c r="AD38" s="1300">
        <v>50.87</v>
      </c>
      <c r="AE38" s="1285">
        <v>51.75</v>
      </c>
      <c r="AF38" s="1301">
        <v>52.62</v>
      </c>
      <c r="AG38" s="1288">
        <v>53.5</v>
      </c>
      <c r="AH38" s="1288">
        <v>54.37</v>
      </c>
      <c r="AI38" s="1288">
        <v>55.24</v>
      </c>
      <c r="AJ38" s="1288">
        <v>56.12</v>
      </c>
      <c r="AK38" s="1288">
        <v>56.99</v>
      </c>
      <c r="AL38" s="1288">
        <v>57.86</v>
      </c>
      <c r="AM38" s="1289">
        <v>58.74</v>
      </c>
      <c r="AN38" s="1289">
        <v>59.61</v>
      </c>
      <c r="AO38" s="1289">
        <v>60.49</v>
      </c>
      <c r="AP38" s="1289">
        <v>61.36</v>
      </c>
      <c r="AQ38" s="1289">
        <v>45.63</v>
      </c>
      <c r="AR38" s="1289">
        <v>44.76</v>
      </c>
      <c r="AS38" s="1289">
        <v>35.07</v>
      </c>
      <c r="AT38" s="1289">
        <v>34.19</v>
      </c>
      <c r="AU38" s="1289">
        <v>33.32</v>
      </c>
    </row>
    <row r="39" spans="1:47">
      <c r="A39" s="1296">
        <v>78.349999999999994</v>
      </c>
      <c r="B39" s="1297">
        <v>79.62</v>
      </c>
      <c r="C39" s="1298">
        <v>80.89</v>
      </c>
      <c r="D39" s="1299">
        <v>82.17</v>
      </c>
      <c r="E39" s="1300">
        <v>83.44</v>
      </c>
      <c r="F39" s="1300">
        <v>84.72</v>
      </c>
      <c r="G39" s="1300">
        <v>85.99</v>
      </c>
      <c r="H39" s="1301">
        <v>87.26</v>
      </c>
      <c r="I39" s="1288">
        <v>88.54</v>
      </c>
      <c r="J39" s="1288">
        <v>89.81</v>
      </c>
      <c r="K39" s="1288">
        <v>91.09</v>
      </c>
      <c r="L39" s="1288">
        <v>94.97</v>
      </c>
      <c r="M39" s="1288">
        <v>93.63</v>
      </c>
      <c r="N39" s="1288">
        <v>94.91</v>
      </c>
      <c r="O39" s="1289">
        <v>96.18</v>
      </c>
      <c r="P39" s="1289">
        <v>97.46</v>
      </c>
      <c r="Q39" s="1289">
        <v>98.73</v>
      </c>
      <c r="R39" s="1289">
        <v>100</v>
      </c>
      <c r="S39" s="1289">
        <v>77.069999999999993</v>
      </c>
      <c r="T39" s="1289">
        <v>75.8</v>
      </c>
      <c r="U39" s="1289">
        <v>56.39</v>
      </c>
      <c r="V39" s="1289">
        <v>55.11</v>
      </c>
      <c r="W39" s="1289">
        <v>53.84</v>
      </c>
      <c r="X39" s="62">
        <v>35</v>
      </c>
      <c r="Y39" s="1296">
        <v>47.85</v>
      </c>
      <c r="Z39" s="1297">
        <v>48.75</v>
      </c>
      <c r="AA39" s="1298">
        <v>49.65</v>
      </c>
      <c r="AB39" s="1299">
        <v>50.55</v>
      </c>
      <c r="AC39" s="1300">
        <v>51.45</v>
      </c>
      <c r="AD39" s="1300">
        <v>52.35</v>
      </c>
      <c r="AE39" s="1285">
        <v>53.25</v>
      </c>
      <c r="AF39" s="1301">
        <v>54.15</v>
      </c>
      <c r="AG39" s="1288">
        <v>55.05</v>
      </c>
      <c r="AH39" s="1288">
        <v>55.95</v>
      </c>
      <c r="AI39" s="1288">
        <v>56.85</v>
      </c>
      <c r="AJ39" s="1288">
        <v>57.75</v>
      </c>
      <c r="AK39" s="1288">
        <v>58.65</v>
      </c>
      <c r="AL39" s="1288">
        <v>59.55</v>
      </c>
      <c r="AM39" s="1289">
        <v>60.45</v>
      </c>
      <c r="AN39" s="1289">
        <v>61.35</v>
      </c>
      <c r="AO39" s="1289">
        <v>62.25</v>
      </c>
      <c r="AP39" s="1289">
        <v>63.14</v>
      </c>
      <c r="AQ39" s="1289">
        <v>46.95</v>
      </c>
      <c r="AR39" s="1289">
        <v>46.05</v>
      </c>
      <c r="AS39" s="1289">
        <v>36.090000000000003</v>
      </c>
      <c r="AT39" s="1289">
        <v>35.19</v>
      </c>
      <c r="AU39" s="1289">
        <v>34.29</v>
      </c>
    </row>
    <row r="40" spans="1:47">
      <c r="A40" s="1296">
        <v>80.56</v>
      </c>
      <c r="B40" s="1297">
        <v>81.87</v>
      </c>
      <c r="C40" s="1298">
        <v>83.18</v>
      </c>
      <c r="D40" s="1299">
        <v>84.49</v>
      </c>
      <c r="E40" s="1300">
        <v>85.8</v>
      </c>
      <c r="F40" s="1300">
        <v>87.11</v>
      </c>
      <c r="G40" s="1300">
        <v>88.42</v>
      </c>
      <c r="H40" s="1301">
        <v>89.73</v>
      </c>
      <c r="I40" s="1288">
        <v>91.04</v>
      </c>
      <c r="J40" s="1288">
        <v>92.35</v>
      </c>
      <c r="K40" s="1288">
        <v>93.66</v>
      </c>
      <c r="L40" s="1288">
        <v>97.58</v>
      </c>
      <c r="M40" s="1288">
        <v>96.28</v>
      </c>
      <c r="N40" s="1288">
        <v>97.59</v>
      </c>
      <c r="O40" s="1289">
        <v>98.9</v>
      </c>
      <c r="P40" s="1289">
        <v>100.21</v>
      </c>
      <c r="Q40" s="1289">
        <v>101.52</v>
      </c>
      <c r="R40" s="1289">
        <v>102.83</v>
      </c>
      <c r="S40" s="1289">
        <v>79.25</v>
      </c>
      <c r="T40" s="1289">
        <v>77.930000000000007</v>
      </c>
      <c r="U40" s="1289">
        <v>57.98</v>
      </c>
      <c r="V40" s="1289">
        <v>56.67</v>
      </c>
      <c r="W40" s="1289">
        <v>55.36</v>
      </c>
      <c r="X40" s="62">
        <v>36</v>
      </c>
      <c r="Y40" s="1296">
        <v>49.21</v>
      </c>
      <c r="Z40" s="1297">
        <v>50.13</v>
      </c>
      <c r="AA40" s="1298">
        <v>51.06</v>
      </c>
      <c r="AB40" s="1299">
        <v>51.98</v>
      </c>
      <c r="AC40" s="1300">
        <v>52.91</v>
      </c>
      <c r="AD40" s="1300">
        <v>53.83</v>
      </c>
      <c r="AE40" s="1285">
        <v>54.76</v>
      </c>
      <c r="AF40" s="1301">
        <v>55.68</v>
      </c>
      <c r="AG40" s="1288">
        <v>56.61</v>
      </c>
      <c r="AH40" s="1288">
        <v>57.53</v>
      </c>
      <c r="AI40" s="1288">
        <v>58.46</v>
      </c>
      <c r="AJ40" s="1288">
        <v>59.38</v>
      </c>
      <c r="AK40" s="1288">
        <v>60.31</v>
      </c>
      <c r="AL40" s="1288">
        <v>61.23</v>
      </c>
      <c r="AM40" s="1289">
        <v>62.16</v>
      </c>
      <c r="AN40" s="1289">
        <v>63.09</v>
      </c>
      <c r="AO40" s="1289">
        <v>64.010000000000005</v>
      </c>
      <c r="AP40" s="1289">
        <v>64.94</v>
      </c>
      <c r="AQ40" s="1289">
        <v>48.28</v>
      </c>
      <c r="AR40" s="1289">
        <v>47.36</v>
      </c>
      <c r="AS40" s="1289">
        <v>37.11</v>
      </c>
      <c r="AT40" s="1289">
        <v>36.19</v>
      </c>
      <c r="AU40" s="1289">
        <v>35.26</v>
      </c>
    </row>
    <row r="41" spans="1:47">
      <c r="A41" s="1296">
        <v>82.77</v>
      </c>
      <c r="B41" s="1297">
        <v>84.11</v>
      </c>
      <c r="C41" s="1298">
        <v>85.46</v>
      </c>
      <c r="D41" s="1299">
        <v>86.81</v>
      </c>
      <c r="E41" s="1300">
        <v>88.15</v>
      </c>
      <c r="F41" s="1300">
        <v>89.5</v>
      </c>
      <c r="G41" s="1300">
        <v>90.85</v>
      </c>
      <c r="H41" s="1301">
        <v>92.19</v>
      </c>
      <c r="I41" s="1288">
        <v>93.54</v>
      </c>
      <c r="J41" s="1288">
        <v>94.89</v>
      </c>
      <c r="K41" s="1288">
        <v>96.23</v>
      </c>
      <c r="L41" s="1288">
        <v>100.19</v>
      </c>
      <c r="M41" s="1288">
        <v>98.93</v>
      </c>
      <c r="N41" s="1288">
        <v>100.27</v>
      </c>
      <c r="O41" s="1289">
        <v>101.62</v>
      </c>
      <c r="P41" s="1289">
        <v>102.97</v>
      </c>
      <c r="Q41" s="1289">
        <v>104.31</v>
      </c>
      <c r="R41" s="1289">
        <v>105.66</v>
      </c>
      <c r="S41" s="1289">
        <v>81.42</v>
      </c>
      <c r="T41" s="1289">
        <v>80.069999999999993</v>
      </c>
      <c r="U41" s="1289">
        <v>59.58</v>
      </c>
      <c r="V41" s="1289">
        <v>58.23</v>
      </c>
      <c r="W41" s="1289">
        <v>56.88</v>
      </c>
      <c r="X41" s="62">
        <v>37</v>
      </c>
      <c r="Y41" s="1296">
        <v>50.55</v>
      </c>
      <c r="Z41" s="1297">
        <v>51.5</v>
      </c>
      <c r="AA41" s="1298">
        <v>52.45</v>
      </c>
      <c r="AB41" s="1299">
        <v>53.41</v>
      </c>
      <c r="AC41" s="1300">
        <v>54.36</v>
      </c>
      <c r="AD41" s="1300">
        <v>55.31</v>
      </c>
      <c r="AE41" s="1285">
        <v>56.26</v>
      </c>
      <c r="AF41" s="1301">
        <v>57.21</v>
      </c>
      <c r="AG41" s="1288">
        <v>58.16</v>
      </c>
      <c r="AH41" s="1288">
        <v>59.11</v>
      </c>
      <c r="AI41" s="1288">
        <v>60.06</v>
      </c>
      <c r="AJ41" s="1288">
        <v>61.01</v>
      </c>
      <c r="AK41" s="1288">
        <v>61.96</v>
      </c>
      <c r="AL41" s="1288">
        <v>62.91</v>
      </c>
      <c r="AM41" s="1289">
        <v>63.87</v>
      </c>
      <c r="AN41" s="1289">
        <v>64.819999999999993</v>
      </c>
      <c r="AO41" s="1289">
        <v>65.77</v>
      </c>
      <c r="AP41" s="1289">
        <v>66.72</v>
      </c>
      <c r="AQ41" s="1289">
        <v>49.6</v>
      </c>
      <c r="AR41" s="1289">
        <v>48.65</v>
      </c>
      <c r="AS41" s="1289">
        <v>38.130000000000003</v>
      </c>
      <c r="AT41" s="1289">
        <v>37.18</v>
      </c>
      <c r="AU41" s="1289">
        <v>36.229999999999997</v>
      </c>
    </row>
    <row r="42" spans="1:47">
      <c r="A42" s="1296">
        <v>84.97</v>
      </c>
      <c r="B42" s="1297">
        <v>86.35</v>
      </c>
      <c r="C42" s="1298">
        <v>87.74</v>
      </c>
      <c r="D42" s="1299">
        <v>89.12</v>
      </c>
      <c r="E42" s="1300">
        <v>90.5</v>
      </c>
      <c r="F42" s="1300">
        <v>91.89</v>
      </c>
      <c r="G42" s="1300">
        <v>93.27</v>
      </c>
      <c r="H42" s="1301">
        <v>94.65</v>
      </c>
      <c r="I42" s="1288">
        <v>96.04</v>
      </c>
      <c r="J42" s="1288">
        <v>97.42</v>
      </c>
      <c r="K42" s="1288">
        <v>98.8</v>
      </c>
      <c r="L42" s="1288">
        <v>100.19</v>
      </c>
      <c r="M42" s="1288">
        <v>101.57</v>
      </c>
      <c r="N42" s="1288">
        <v>102.95</v>
      </c>
      <c r="O42" s="1289">
        <v>104.34</v>
      </c>
      <c r="P42" s="1289">
        <v>105.72</v>
      </c>
      <c r="Q42" s="1289">
        <v>107.1</v>
      </c>
      <c r="R42" s="1289">
        <v>108.49</v>
      </c>
      <c r="S42" s="1289">
        <v>83.59</v>
      </c>
      <c r="T42" s="1289">
        <v>82.21</v>
      </c>
      <c r="U42" s="1289">
        <v>61.17</v>
      </c>
      <c r="V42" s="1289">
        <v>59.79</v>
      </c>
      <c r="W42" s="1289">
        <v>58.4</v>
      </c>
      <c r="X42" s="62">
        <v>38</v>
      </c>
      <c r="Y42" s="1296">
        <v>51.9</v>
      </c>
      <c r="Z42" s="1297">
        <v>52.88</v>
      </c>
      <c r="AA42" s="1298">
        <v>53.86</v>
      </c>
      <c r="AB42" s="1299">
        <v>54.83</v>
      </c>
      <c r="AC42" s="1300">
        <v>55.81</v>
      </c>
      <c r="AD42" s="1300">
        <v>56.79</v>
      </c>
      <c r="AE42" s="1285">
        <v>57.76</v>
      </c>
      <c r="AF42" s="1301">
        <v>58.74</v>
      </c>
      <c r="AG42" s="1288">
        <v>59.72</v>
      </c>
      <c r="AH42" s="1288">
        <v>60.69</v>
      </c>
      <c r="AI42" s="1288">
        <v>61.67</v>
      </c>
      <c r="AJ42" s="1288">
        <v>62.65</v>
      </c>
      <c r="AK42" s="1288">
        <v>63.62</v>
      </c>
      <c r="AL42" s="1288">
        <v>64.599999999999994</v>
      </c>
      <c r="AM42" s="1289">
        <v>65.58</v>
      </c>
      <c r="AN42" s="1289">
        <v>66.55</v>
      </c>
      <c r="AO42" s="1289">
        <v>67.53</v>
      </c>
      <c r="AP42" s="1289">
        <v>68.510000000000005</v>
      </c>
      <c r="AQ42" s="1289">
        <v>50.93</v>
      </c>
      <c r="AR42" s="1289">
        <v>49.95</v>
      </c>
      <c r="AS42" s="1289">
        <v>39.15</v>
      </c>
      <c r="AT42" s="1289">
        <v>38.17</v>
      </c>
      <c r="AU42" s="1289">
        <v>37.200000000000003</v>
      </c>
    </row>
    <row r="43" spans="1:47">
      <c r="A43" s="1296">
        <v>87.17</v>
      </c>
      <c r="B43" s="1297">
        <v>88.59</v>
      </c>
      <c r="C43" s="1298">
        <v>90.01</v>
      </c>
      <c r="D43" s="1299">
        <v>91.43</v>
      </c>
      <c r="E43" s="1300">
        <v>92.85</v>
      </c>
      <c r="F43" s="1300">
        <v>94.27</v>
      </c>
      <c r="G43" s="1300">
        <v>95.69</v>
      </c>
      <c r="H43" s="1301">
        <v>97.11</v>
      </c>
      <c r="I43" s="1288">
        <v>98.53</v>
      </c>
      <c r="J43" s="1288">
        <v>99.95</v>
      </c>
      <c r="K43" s="1288">
        <v>101.37</v>
      </c>
      <c r="L43" s="1288">
        <v>102.79</v>
      </c>
      <c r="M43" s="1288">
        <v>104.21</v>
      </c>
      <c r="N43" s="1288">
        <v>105.63</v>
      </c>
      <c r="O43" s="1289">
        <v>107.05</v>
      </c>
      <c r="P43" s="1289">
        <v>108.47</v>
      </c>
      <c r="Q43" s="1289">
        <v>109.89</v>
      </c>
      <c r="R43" s="1289">
        <v>111.31</v>
      </c>
      <c r="S43" s="1289">
        <v>85.75</v>
      </c>
      <c r="T43" s="1289">
        <v>84.33</v>
      </c>
      <c r="U43" s="1289">
        <v>62.76</v>
      </c>
      <c r="V43" s="1289">
        <v>61.34</v>
      </c>
      <c r="W43" s="1289">
        <v>59.92</v>
      </c>
      <c r="X43" s="62">
        <v>39</v>
      </c>
      <c r="Y43" s="1296">
        <v>53.26</v>
      </c>
      <c r="Z43" s="1297">
        <v>54.26</v>
      </c>
      <c r="AA43" s="1298">
        <v>55.26</v>
      </c>
      <c r="AB43" s="1299">
        <v>56.27</v>
      </c>
      <c r="AC43" s="1300">
        <v>57.27</v>
      </c>
      <c r="AD43" s="1300">
        <v>58.27</v>
      </c>
      <c r="AE43" s="1285">
        <v>59.27</v>
      </c>
      <c r="AF43" s="1301">
        <v>60.28</v>
      </c>
      <c r="AG43" s="1288">
        <v>61.28</v>
      </c>
      <c r="AH43" s="1288">
        <v>62.28</v>
      </c>
      <c r="AI43" s="1288">
        <v>63.28</v>
      </c>
      <c r="AJ43" s="1288">
        <v>64.28</v>
      </c>
      <c r="AK43" s="1288">
        <v>65.290000000000006</v>
      </c>
      <c r="AL43" s="1288">
        <v>66.290000000000006</v>
      </c>
      <c r="AM43" s="1289">
        <v>67.290000000000006</v>
      </c>
      <c r="AN43" s="1289">
        <v>68.290000000000006</v>
      </c>
      <c r="AO43" s="1289">
        <v>69.3</v>
      </c>
      <c r="AP43" s="1289">
        <v>70.3</v>
      </c>
      <c r="AQ43" s="1289">
        <v>52.26</v>
      </c>
      <c r="AR43" s="1289">
        <v>51.25</v>
      </c>
      <c r="AS43" s="1289">
        <v>40.17</v>
      </c>
      <c r="AT43" s="1289">
        <v>39.17</v>
      </c>
      <c r="AU43" s="1289">
        <v>38.17</v>
      </c>
    </row>
    <row r="44" spans="1:47">
      <c r="A44" s="1296">
        <v>89.37</v>
      </c>
      <c r="B44" s="1297">
        <v>90.82</v>
      </c>
      <c r="C44" s="1298">
        <v>92.28</v>
      </c>
      <c r="D44" s="1299">
        <v>93.73</v>
      </c>
      <c r="E44" s="1300">
        <v>95.19</v>
      </c>
      <c r="F44" s="1300">
        <v>96.65</v>
      </c>
      <c r="G44" s="1300">
        <v>98.1</v>
      </c>
      <c r="H44" s="1301">
        <v>99.56</v>
      </c>
      <c r="I44" s="1288">
        <v>101.01</v>
      </c>
      <c r="J44" s="1288">
        <v>102.47</v>
      </c>
      <c r="K44" s="1288">
        <v>103.93</v>
      </c>
      <c r="L44" s="1288">
        <v>105.38</v>
      </c>
      <c r="M44" s="1288">
        <v>106.84</v>
      </c>
      <c r="N44" s="1288">
        <v>108.29</v>
      </c>
      <c r="O44" s="1289">
        <v>109.75</v>
      </c>
      <c r="P44" s="1289">
        <v>111.21</v>
      </c>
      <c r="Q44" s="1289">
        <v>112.66</v>
      </c>
      <c r="R44" s="1289">
        <v>114.12</v>
      </c>
      <c r="S44" s="1289">
        <v>87.91</v>
      </c>
      <c r="T44" s="1289">
        <v>86.45</v>
      </c>
      <c r="U44" s="1289">
        <v>64.34</v>
      </c>
      <c r="V44" s="1289">
        <v>62.89</v>
      </c>
      <c r="W44" s="1289">
        <v>61.53</v>
      </c>
      <c r="X44" s="62">
        <v>40</v>
      </c>
      <c r="Y44" s="1296">
        <v>54.6</v>
      </c>
      <c r="Z44" s="1297">
        <v>55.63</v>
      </c>
      <c r="AA44" s="1298">
        <v>56.66</v>
      </c>
      <c r="AB44" s="1299">
        <v>57.69</v>
      </c>
      <c r="AC44" s="1300">
        <v>58.72</v>
      </c>
      <c r="AD44" s="1300">
        <v>59.74</v>
      </c>
      <c r="AE44" s="1285">
        <v>60.77</v>
      </c>
      <c r="AF44" s="1301">
        <v>61.8</v>
      </c>
      <c r="AG44" s="1288">
        <v>62.83</v>
      </c>
      <c r="AH44" s="1288">
        <v>63.86</v>
      </c>
      <c r="AI44" s="1288">
        <v>64.88</v>
      </c>
      <c r="AJ44" s="1288">
        <v>65.91</v>
      </c>
      <c r="AK44" s="1288">
        <v>66.94</v>
      </c>
      <c r="AL44" s="1288">
        <v>67.97</v>
      </c>
      <c r="AM44" s="1289">
        <v>69</v>
      </c>
      <c r="AN44" s="1289">
        <v>70.02</v>
      </c>
      <c r="AO44" s="1289">
        <v>71.05</v>
      </c>
      <c r="AP44" s="1289">
        <v>72.08</v>
      </c>
      <c r="AQ44" s="1289">
        <v>53.58</v>
      </c>
      <c r="AR44" s="1289">
        <v>52.55</v>
      </c>
      <c r="AS44" s="1289">
        <v>41.19</v>
      </c>
      <c r="AT44" s="1289">
        <v>40.159999999999997</v>
      </c>
      <c r="AU44" s="1289">
        <v>39.130000000000003</v>
      </c>
    </row>
    <row r="45" spans="1:47">
      <c r="A45" s="1296">
        <v>91.58</v>
      </c>
      <c r="B45" s="1297">
        <v>93.07</v>
      </c>
      <c r="C45" s="1298">
        <v>94.57</v>
      </c>
      <c r="D45" s="1299">
        <v>96.06</v>
      </c>
      <c r="E45" s="1300">
        <v>97.55</v>
      </c>
      <c r="F45" s="1300">
        <v>99.04</v>
      </c>
      <c r="G45" s="1300">
        <v>100.54</v>
      </c>
      <c r="H45" s="1301">
        <v>102.03</v>
      </c>
      <c r="I45" s="1288">
        <v>103.52</v>
      </c>
      <c r="J45" s="1288">
        <v>105.01</v>
      </c>
      <c r="K45" s="1288">
        <v>106.51</v>
      </c>
      <c r="L45" s="1288">
        <v>108</v>
      </c>
      <c r="M45" s="1288">
        <v>109.49</v>
      </c>
      <c r="N45" s="1288">
        <v>110.98</v>
      </c>
      <c r="O45" s="1289">
        <v>112.47</v>
      </c>
      <c r="P45" s="1289">
        <v>113.97</v>
      </c>
      <c r="Q45" s="1289">
        <v>115.46</v>
      </c>
      <c r="R45" s="1289">
        <v>116.95</v>
      </c>
      <c r="S45" s="1289">
        <v>90.09</v>
      </c>
      <c r="T45" s="1289">
        <v>88.6</v>
      </c>
      <c r="U45" s="1289">
        <v>65.94</v>
      </c>
      <c r="V45" s="1289">
        <v>64.400000000000006</v>
      </c>
      <c r="W45" s="1289">
        <v>62.96</v>
      </c>
      <c r="X45" s="62">
        <v>41</v>
      </c>
      <c r="Y45" s="1296">
        <v>55.95</v>
      </c>
      <c r="Z45" s="1297">
        <v>57.01</v>
      </c>
      <c r="AA45" s="1298">
        <v>58.06</v>
      </c>
      <c r="AB45" s="1299">
        <v>59.11</v>
      </c>
      <c r="AC45" s="1300">
        <v>60.17</v>
      </c>
      <c r="AD45" s="1300">
        <v>61.22</v>
      </c>
      <c r="AE45" s="1285">
        <v>62.28</v>
      </c>
      <c r="AF45" s="1301">
        <v>63.33</v>
      </c>
      <c r="AG45" s="1288">
        <v>64.38</v>
      </c>
      <c r="AH45" s="1288">
        <v>65.44</v>
      </c>
      <c r="AI45" s="1288">
        <v>66.489999999999995</v>
      </c>
      <c r="AJ45" s="1288">
        <v>67.540000000000006</v>
      </c>
      <c r="AK45" s="1288">
        <v>68.599999999999994</v>
      </c>
      <c r="AL45" s="1288">
        <v>69.650000000000006</v>
      </c>
      <c r="AM45" s="1289">
        <v>70.709999999999994</v>
      </c>
      <c r="AN45" s="1289">
        <v>71.760000000000005</v>
      </c>
      <c r="AO45" s="1289">
        <v>72.81</v>
      </c>
      <c r="AP45" s="1289">
        <v>73.87</v>
      </c>
      <c r="AQ45" s="1289">
        <v>54.9</v>
      </c>
      <c r="AR45" s="1289">
        <v>53.85</v>
      </c>
      <c r="AS45" s="1289">
        <v>42.21</v>
      </c>
      <c r="AT45" s="1289">
        <v>41.16</v>
      </c>
      <c r="AU45" s="1289">
        <v>40.1</v>
      </c>
    </row>
    <row r="46" spans="1:47">
      <c r="A46" s="1296">
        <v>93.79</v>
      </c>
      <c r="B46" s="1297">
        <v>95.31</v>
      </c>
      <c r="C46" s="1298">
        <v>96.84</v>
      </c>
      <c r="D46" s="1299">
        <v>98.37</v>
      </c>
      <c r="E46" s="1300">
        <v>99.9</v>
      </c>
      <c r="F46" s="1300">
        <v>101.43</v>
      </c>
      <c r="G46" s="1300">
        <v>102.96</v>
      </c>
      <c r="H46" s="1301">
        <v>104.49</v>
      </c>
      <c r="I46" s="1288">
        <v>106.02</v>
      </c>
      <c r="J46" s="1288">
        <v>107.54</v>
      </c>
      <c r="K46" s="1288">
        <v>109.07</v>
      </c>
      <c r="L46" s="1288">
        <v>110.6</v>
      </c>
      <c r="M46" s="1288">
        <v>112.13</v>
      </c>
      <c r="N46" s="1288">
        <v>113.66</v>
      </c>
      <c r="O46" s="1289">
        <v>115.19</v>
      </c>
      <c r="P46" s="1289">
        <v>116.72</v>
      </c>
      <c r="Q46" s="1289">
        <v>118.25</v>
      </c>
      <c r="R46" s="1289">
        <v>119.78</v>
      </c>
      <c r="S46" s="1289">
        <v>92.26</v>
      </c>
      <c r="T46" s="1289">
        <v>90.73</v>
      </c>
      <c r="U46" s="1289">
        <v>67.53</v>
      </c>
      <c r="V46" s="1289">
        <v>66</v>
      </c>
      <c r="W46" s="1289">
        <v>64.47</v>
      </c>
      <c r="X46" s="62">
        <v>42</v>
      </c>
      <c r="Y46" s="1296">
        <v>57.31</v>
      </c>
      <c r="Z46" s="1297">
        <v>58.39</v>
      </c>
      <c r="AA46" s="1298">
        <v>59.47</v>
      </c>
      <c r="AB46" s="1299">
        <v>60.55</v>
      </c>
      <c r="AC46" s="1300">
        <v>61.63</v>
      </c>
      <c r="AD46" s="1300">
        <v>62.71</v>
      </c>
      <c r="AE46" s="1285">
        <v>63.78</v>
      </c>
      <c r="AF46" s="1301">
        <v>64.86</v>
      </c>
      <c r="AG46" s="1288">
        <v>65.94</v>
      </c>
      <c r="AH46" s="1288">
        <v>67.02</v>
      </c>
      <c r="AI46" s="1288">
        <v>68.099999999999994</v>
      </c>
      <c r="AJ46" s="1288">
        <v>69.180000000000007</v>
      </c>
      <c r="AK46" s="1288">
        <v>70.260000000000005</v>
      </c>
      <c r="AL46" s="1288">
        <v>71.34</v>
      </c>
      <c r="AM46" s="1289">
        <v>72.42</v>
      </c>
      <c r="AN46" s="1289">
        <v>73.5</v>
      </c>
      <c r="AO46" s="1289">
        <v>74.58</v>
      </c>
      <c r="AP46" s="1289">
        <v>7566</v>
      </c>
      <c r="AQ46" s="1289">
        <v>56.23</v>
      </c>
      <c r="AR46" s="1289">
        <v>55.15</v>
      </c>
      <c r="AS46" s="1289">
        <v>43.23</v>
      </c>
      <c r="AT46" s="1289">
        <v>42.15</v>
      </c>
      <c r="AU46" s="1289">
        <v>41.07</v>
      </c>
    </row>
    <row r="47" spans="1:47">
      <c r="A47" s="1296">
        <v>93.98</v>
      </c>
      <c r="B47" s="1297">
        <v>97.54</v>
      </c>
      <c r="C47" s="1298">
        <v>99.11</v>
      </c>
      <c r="D47" s="1299">
        <v>100.67</v>
      </c>
      <c r="E47" s="1300">
        <v>102.24</v>
      </c>
      <c r="F47" s="1300">
        <v>403.8</v>
      </c>
      <c r="G47" s="1300">
        <v>105.37</v>
      </c>
      <c r="H47" s="1301">
        <v>106.93</v>
      </c>
      <c r="I47" s="1288">
        <v>108.5</v>
      </c>
      <c r="J47" s="1288">
        <v>110.06</v>
      </c>
      <c r="K47" s="1288">
        <v>111.63</v>
      </c>
      <c r="L47" s="1288">
        <v>113.19</v>
      </c>
      <c r="M47" s="1288">
        <v>114.76</v>
      </c>
      <c r="N47" s="1288">
        <v>116.32</v>
      </c>
      <c r="O47" s="1289">
        <v>117.89</v>
      </c>
      <c r="P47" s="1289">
        <v>119.46</v>
      </c>
      <c r="Q47" s="1289">
        <v>121.02</v>
      </c>
      <c r="R47" s="1289">
        <v>122.59</v>
      </c>
      <c r="S47" s="1289">
        <v>94.41</v>
      </c>
      <c r="T47" s="1289">
        <v>92.85</v>
      </c>
      <c r="U47" s="1289">
        <v>69.12</v>
      </c>
      <c r="V47" s="1289">
        <v>67.55</v>
      </c>
      <c r="W47" s="1289">
        <v>65.989999999999995</v>
      </c>
      <c r="X47" s="62">
        <v>43</v>
      </c>
      <c r="Y47" s="1296">
        <v>58.65</v>
      </c>
      <c r="Z47" s="1297">
        <v>59.75</v>
      </c>
      <c r="AA47" s="1298">
        <v>60.86</v>
      </c>
      <c r="AB47" s="1299">
        <v>61.96</v>
      </c>
      <c r="AC47" s="1300">
        <v>63.07</v>
      </c>
      <c r="AD47" s="1300">
        <v>64.17</v>
      </c>
      <c r="AE47" s="1285">
        <v>65.28</v>
      </c>
      <c r="AF47" s="1301">
        <v>66.38</v>
      </c>
      <c r="AG47" s="1288">
        <v>67.489999999999995</v>
      </c>
      <c r="AH47" s="1288">
        <v>68.59</v>
      </c>
      <c r="AI47" s="1288">
        <v>69.7</v>
      </c>
      <c r="AJ47" s="1288">
        <v>70.81</v>
      </c>
      <c r="AK47" s="1288">
        <v>71.91</v>
      </c>
      <c r="AL47" s="1288">
        <v>73.02</v>
      </c>
      <c r="AM47" s="1289">
        <v>74.12</v>
      </c>
      <c r="AN47" s="1289">
        <v>75.23</v>
      </c>
      <c r="AO47" s="1289">
        <v>76.33</v>
      </c>
      <c r="AP47" s="1289">
        <v>77.44</v>
      </c>
      <c r="AQ47" s="1289">
        <v>57.54</v>
      </c>
      <c r="AR47" s="1289">
        <v>56.44</v>
      </c>
      <c r="AS47" s="1289">
        <v>44.25</v>
      </c>
      <c r="AT47" s="1289">
        <v>43.14</v>
      </c>
      <c r="AU47" s="1289">
        <v>42.04</v>
      </c>
    </row>
    <row r="48" spans="1:47">
      <c r="A48" s="1296">
        <v>98.19</v>
      </c>
      <c r="B48" s="1297">
        <v>99.79</v>
      </c>
      <c r="C48" s="1298">
        <v>101.39</v>
      </c>
      <c r="D48" s="1299">
        <v>102.99</v>
      </c>
      <c r="E48" s="1300">
        <v>104.59</v>
      </c>
      <c r="F48" s="1300">
        <v>106.2</v>
      </c>
      <c r="G48" s="1300">
        <v>107.8</v>
      </c>
      <c r="H48" s="1301">
        <v>109.4</v>
      </c>
      <c r="I48" s="1288">
        <v>111</v>
      </c>
      <c r="J48" s="1288">
        <v>112.6</v>
      </c>
      <c r="K48" s="1288">
        <v>114.2</v>
      </c>
      <c r="L48" s="1288">
        <v>115.81</v>
      </c>
      <c r="M48" s="1288">
        <v>117.41</v>
      </c>
      <c r="N48" s="1288">
        <v>119.01</v>
      </c>
      <c r="O48" s="1289">
        <v>120.61</v>
      </c>
      <c r="P48" s="1289">
        <v>122.21</v>
      </c>
      <c r="Q48" s="1289">
        <v>123.81</v>
      </c>
      <c r="R48" s="1289">
        <v>125.41</v>
      </c>
      <c r="S48" s="1289">
        <v>96.59</v>
      </c>
      <c r="T48" s="1289">
        <v>94.98</v>
      </c>
      <c r="U48" s="1289">
        <v>70.709999999999994</v>
      </c>
      <c r="V48" s="1289">
        <v>69.11</v>
      </c>
      <c r="W48" s="1289">
        <v>67.510000000000005</v>
      </c>
      <c r="X48" s="62">
        <v>44</v>
      </c>
      <c r="Y48" s="1296">
        <v>60</v>
      </c>
      <c r="Z48" s="1297">
        <v>61.13</v>
      </c>
      <c r="AA48" s="1298">
        <v>62.22</v>
      </c>
      <c r="AB48" s="1299">
        <v>63.4</v>
      </c>
      <c r="AC48" s="1300">
        <v>64.53</v>
      </c>
      <c r="AD48" s="1300">
        <v>65.66</v>
      </c>
      <c r="AE48" s="1285">
        <v>66.790000000000006</v>
      </c>
      <c r="AF48" s="1301">
        <v>67.92</v>
      </c>
      <c r="AG48" s="1288">
        <v>69.05</v>
      </c>
      <c r="AH48" s="1288">
        <v>70.180000000000007</v>
      </c>
      <c r="AI48" s="1288">
        <v>71.31</v>
      </c>
      <c r="AJ48" s="1288">
        <v>72.44</v>
      </c>
      <c r="AK48" s="1288">
        <v>73.569999999999993</v>
      </c>
      <c r="AL48" s="1288">
        <v>74.7</v>
      </c>
      <c r="AM48" s="1289">
        <v>75.84</v>
      </c>
      <c r="AN48" s="1289">
        <v>76.97</v>
      </c>
      <c r="AO48" s="1289">
        <v>78.099999999999994</v>
      </c>
      <c r="AP48" s="1289">
        <v>79.23</v>
      </c>
      <c r="AQ48" s="1289">
        <v>58.87</v>
      </c>
      <c r="AR48" s="1289">
        <v>57.74</v>
      </c>
      <c r="AS48" s="1289">
        <v>45.27</v>
      </c>
      <c r="AT48" s="1289">
        <v>44.14</v>
      </c>
      <c r="AU48" s="1289">
        <v>43.01</v>
      </c>
    </row>
    <row r="49" spans="1:47">
      <c r="A49" s="1296">
        <v>100.38</v>
      </c>
      <c r="B49" s="1297">
        <v>102.02</v>
      </c>
      <c r="C49" s="1298">
        <v>103.66</v>
      </c>
      <c r="D49" s="1299">
        <v>105.3</v>
      </c>
      <c r="E49" s="1300">
        <v>106.93</v>
      </c>
      <c r="F49" s="1300">
        <v>108.57</v>
      </c>
      <c r="G49" s="1300">
        <v>110.21</v>
      </c>
      <c r="H49" s="1301">
        <v>111.85</v>
      </c>
      <c r="I49" s="1288">
        <v>113.49</v>
      </c>
      <c r="J49" s="1288">
        <v>115.12</v>
      </c>
      <c r="K49" s="1288">
        <v>116.76</v>
      </c>
      <c r="L49" s="1288">
        <v>118.4</v>
      </c>
      <c r="M49" s="1288">
        <v>120.04</v>
      </c>
      <c r="N49" s="1288">
        <v>121.68</v>
      </c>
      <c r="O49" s="1289">
        <v>123.31</v>
      </c>
      <c r="P49" s="1289">
        <v>124.95</v>
      </c>
      <c r="Q49" s="1289">
        <v>126.59</v>
      </c>
      <c r="R49" s="1289">
        <v>128.22999999999999</v>
      </c>
      <c r="S49" s="1289">
        <v>98.74</v>
      </c>
      <c r="T49" s="1289">
        <v>97.11</v>
      </c>
      <c r="U49" s="1289">
        <v>72.3</v>
      </c>
      <c r="V49" s="1289">
        <v>70.66</v>
      </c>
      <c r="W49" s="1289">
        <v>69.02</v>
      </c>
      <c r="X49" s="62">
        <v>45</v>
      </c>
      <c r="Y49" s="1296">
        <v>61.35</v>
      </c>
      <c r="Z49" s="1297">
        <v>62.51</v>
      </c>
      <c r="AA49" s="1302">
        <v>63.67</v>
      </c>
      <c r="AB49" s="1299">
        <v>64.819999999999993</v>
      </c>
      <c r="AC49" s="1300">
        <v>65.98</v>
      </c>
      <c r="AD49" s="1300">
        <v>67.14</v>
      </c>
      <c r="AE49" s="1285">
        <v>68.290000000000006</v>
      </c>
      <c r="AF49" s="1301">
        <v>6945</v>
      </c>
      <c r="AG49" s="1288">
        <v>70.61</v>
      </c>
      <c r="AH49" s="1288">
        <v>71.760000000000005</v>
      </c>
      <c r="AI49" s="1288">
        <v>72.92</v>
      </c>
      <c r="AJ49" s="1288">
        <v>74.08</v>
      </c>
      <c r="AK49" s="1288">
        <v>75.23</v>
      </c>
      <c r="AL49" s="1288">
        <v>76.39</v>
      </c>
      <c r="AM49" s="1289">
        <v>77.540000000000006</v>
      </c>
      <c r="AN49" s="1289">
        <v>78.7</v>
      </c>
      <c r="AO49" s="1289">
        <v>79.86</v>
      </c>
      <c r="AP49" s="1289">
        <v>81.010000000000005</v>
      </c>
      <c r="AQ49" s="1289">
        <v>60.2</v>
      </c>
      <c r="AR49" s="1289">
        <v>59.04</v>
      </c>
      <c r="AS49" s="1289">
        <v>46.29</v>
      </c>
      <c r="AT49" s="1289">
        <v>45.13</v>
      </c>
      <c r="AU49" s="1289">
        <v>43.98</v>
      </c>
    </row>
    <row r="50" spans="1:47">
      <c r="A50" s="1296">
        <v>102.59</v>
      </c>
      <c r="B50" s="1297">
        <v>104.27</v>
      </c>
      <c r="C50" s="1298">
        <v>105.94</v>
      </c>
      <c r="D50" s="1299">
        <v>107.62</v>
      </c>
      <c r="E50" s="1300">
        <v>109.29</v>
      </c>
      <c r="F50" s="1300">
        <v>110.97</v>
      </c>
      <c r="G50" s="1300">
        <v>112.64</v>
      </c>
      <c r="H50" s="1301">
        <v>114.31</v>
      </c>
      <c r="I50" s="1288">
        <v>115.99</v>
      </c>
      <c r="J50" s="1288">
        <v>117.66</v>
      </c>
      <c r="K50" s="1288">
        <v>119.34</v>
      </c>
      <c r="L50" s="1288">
        <v>121.01</v>
      </c>
      <c r="M50" s="1288">
        <v>122.69</v>
      </c>
      <c r="N50" s="1288">
        <v>124.36</v>
      </c>
      <c r="O50" s="1289">
        <v>126.04</v>
      </c>
      <c r="P50" s="1289">
        <v>127.71</v>
      </c>
      <c r="Q50" s="1289">
        <v>129.38</v>
      </c>
      <c r="R50" s="1289">
        <v>131.06</v>
      </c>
      <c r="S50" s="1289">
        <v>100.92</v>
      </c>
      <c r="T50" s="1289">
        <v>99.24</v>
      </c>
      <c r="U50" s="1289">
        <v>73.89</v>
      </c>
      <c r="V50" s="1289">
        <v>72.22</v>
      </c>
      <c r="W50" s="1289">
        <v>70.540000000000006</v>
      </c>
      <c r="X50" s="62">
        <v>46</v>
      </c>
      <c r="Y50" s="1296">
        <v>62.71</v>
      </c>
      <c r="Z50" s="1297">
        <v>63.89</v>
      </c>
      <c r="AA50" s="1302">
        <v>65.069999999999993</v>
      </c>
      <c r="AB50" s="1299">
        <v>66.25</v>
      </c>
      <c r="AC50" s="1300">
        <v>67.44</v>
      </c>
      <c r="AD50" s="1300">
        <v>68.62</v>
      </c>
      <c r="AE50" s="1285">
        <v>69.8</v>
      </c>
      <c r="AF50" s="1301">
        <v>70.98</v>
      </c>
      <c r="AG50" s="1288">
        <v>72.17</v>
      </c>
      <c r="AH50" s="1288">
        <v>73.349999999999994</v>
      </c>
      <c r="AI50" s="1288">
        <v>74.53</v>
      </c>
      <c r="AJ50" s="1288">
        <v>75.709999999999994</v>
      </c>
      <c r="AK50" s="1288">
        <v>76.89</v>
      </c>
      <c r="AL50" s="1288">
        <v>78.08</v>
      </c>
      <c r="AM50" s="1289">
        <v>79.260000000000005</v>
      </c>
      <c r="AN50" s="1289">
        <v>80.44</v>
      </c>
      <c r="AO50" s="1289">
        <v>81.62</v>
      </c>
      <c r="AP50" s="1289">
        <v>82.81</v>
      </c>
      <c r="AQ50" s="1289">
        <v>61.53</v>
      </c>
      <c r="AR50" s="1289">
        <v>60.34</v>
      </c>
      <c r="AS50" s="1289">
        <v>47.31</v>
      </c>
      <c r="AT50" s="1289">
        <v>46.13</v>
      </c>
      <c r="AU50" s="1289">
        <v>44.95</v>
      </c>
    </row>
    <row r="51" spans="1:47">
      <c r="A51" s="1296">
        <v>104.79</v>
      </c>
      <c r="B51" s="1297">
        <v>106.5</v>
      </c>
      <c r="C51" s="1298">
        <v>108.21</v>
      </c>
      <c r="D51" s="1299">
        <v>109.92</v>
      </c>
      <c r="E51" s="1300">
        <v>111.63</v>
      </c>
      <c r="F51" s="1300">
        <v>113.34</v>
      </c>
      <c r="G51" s="1300">
        <v>115.05</v>
      </c>
      <c r="H51" s="1301">
        <v>116.76</v>
      </c>
      <c r="I51" s="1288">
        <v>118.47</v>
      </c>
      <c r="J51" s="1288">
        <v>120.18</v>
      </c>
      <c r="K51" s="1288">
        <v>121.89</v>
      </c>
      <c r="L51" s="1288">
        <v>123.6</v>
      </c>
      <c r="M51" s="1288">
        <v>125.32</v>
      </c>
      <c r="N51" s="1288">
        <v>127.03</v>
      </c>
      <c r="O51" s="1289">
        <v>128.74</v>
      </c>
      <c r="P51" s="1289">
        <v>130.44999999999999</v>
      </c>
      <c r="Q51" s="1289">
        <v>132.16</v>
      </c>
      <c r="R51" s="1289">
        <v>133.87</v>
      </c>
      <c r="S51" s="1289">
        <v>103.07</v>
      </c>
      <c r="T51" s="1289">
        <v>101.36</v>
      </c>
      <c r="U51" s="1289">
        <v>75.48</v>
      </c>
      <c r="V51" s="1289">
        <v>73.760000000000005</v>
      </c>
      <c r="W51" s="1289">
        <v>72.05</v>
      </c>
      <c r="X51" s="62">
        <v>47</v>
      </c>
      <c r="Y51" s="1296">
        <v>64.06</v>
      </c>
      <c r="Z51" s="1297">
        <v>65.260000000000005</v>
      </c>
      <c r="AA51" s="1302">
        <v>66.47</v>
      </c>
      <c r="AB51" s="1299">
        <v>67.680000000000007</v>
      </c>
      <c r="AC51" s="1300">
        <v>68.89</v>
      </c>
      <c r="AD51" s="1300">
        <v>70.099999999999994</v>
      </c>
      <c r="AE51" s="1285">
        <v>71.3</v>
      </c>
      <c r="AF51" s="1301">
        <v>72.510000000000005</v>
      </c>
      <c r="AG51" s="1288">
        <v>73.73</v>
      </c>
      <c r="AH51" s="1288">
        <v>74.930000000000007</v>
      </c>
      <c r="AI51" s="1288">
        <v>76.13</v>
      </c>
      <c r="AJ51" s="1288">
        <v>77.34</v>
      </c>
      <c r="AK51" s="1288">
        <v>78.55</v>
      </c>
      <c r="AL51" s="1288">
        <v>79.760000000000005</v>
      </c>
      <c r="AM51" s="1289">
        <v>80.97</v>
      </c>
      <c r="AN51" s="1289">
        <v>82.17</v>
      </c>
      <c r="AO51" s="1289">
        <v>83.38</v>
      </c>
      <c r="AP51" s="1289">
        <v>84.59</v>
      </c>
      <c r="AQ51" s="1289">
        <v>62.85</v>
      </c>
      <c r="AR51" s="1289">
        <v>61.64</v>
      </c>
      <c r="AS51" s="1289">
        <v>48.33</v>
      </c>
      <c r="AT51" s="1289">
        <v>47.13</v>
      </c>
      <c r="AU51" s="1289">
        <v>45.92</v>
      </c>
    </row>
    <row r="52" spans="1:47">
      <c r="A52" s="1296">
        <v>107</v>
      </c>
      <c r="B52" s="1297">
        <v>108.74</v>
      </c>
      <c r="C52" s="1298">
        <v>110.49</v>
      </c>
      <c r="D52" s="1299">
        <v>112.24</v>
      </c>
      <c r="E52" s="1300">
        <v>113.98</v>
      </c>
      <c r="F52" s="1300">
        <v>115.73</v>
      </c>
      <c r="G52" s="1300">
        <v>117.48</v>
      </c>
      <c r="H52" s="1301">
        <v>119.23</v>
      </c>
      <c r="I52" s="1288">
        <v>120.97</v>
      </c>
      <c r="J52" s="1288">
        <v>122.72</v>
      </c>
      <c r="K52" s="1288">
        <v>124.47</v>
      </c>
      <c r="L52" s="1288">
        <v>126.21</v>
      </c>
      <c r="M52" s="1288">
        <v>127.96</v>
      </c>
      <c r="N52" s="1288">
        <v>129.71</v>
      </c>
      <c r="O52" s="1289">
        <v>131.46</v>
      </c>
      <c r="P52" s="1289">
        <v>133.19999999999999</v>
      </c>
      <c r="Q52" s="1289">
        <v>134.94999999999999</v>
      </c>
      <c r="R52" s="1289">
        <v>136.69999999999999</v>
      </c>
      <c r="S52" s="1289">
        <v>105.25</v>
      </c>
      <c r="T52" s="1289">
        <v>103.5</v>
      </c>
      <c r="U52" s="1289">
        <v>77.069999999999993</v>
      </c>
      <c r="V52" s="1289">
        <v>75.319999999999993</v>
      </c>
      <c r="W52" s="1289">
        <v>73.58</v>
      </c>
      <c r="X52" s="62">
        <v>48</v>
      </c>
      <c r="Y52" s="1296">
        <v>65.400000000000006</v>
      </c>
      <c r="Z52" s="1297">
        <v>66.63</v>
      </c>
      <c r="AA52" s="1302">
        <v>67.599999999999994</v>
      </c>
      <c r="AB52" s="1299">
        <v>69.099999999999994</v>
      </c>
      <c r="AC52" s="1300">
        <v>70.33</v>
      </c>
      <c r="AD52" s="1300">
        <v>71.56</v>
      </c>
      <c r="AE52" s="1285">
        <v>72.8</v>
      </c>
      <c r="AF52" s="1301">
        <v>74.03</v>
      </c>
      <c r="AG52" s="1288">
        <v>75.27</v>
      </c>
      <c r="AH52" s="1288">
        <v>76.5</v>
      </c>
      <c r="AI52" s="1288">
        <v>77.73</v>
      </c>
      <c r="AJ52" s="1288">
        <v>78.97</v>
      </c>
      <c r="AK52" s="1288">
        <v>80.2</v>
      </c>
      <c r="AL52" s="1288">
        <v>81.430000000000007</v>
      </c>
      <c r="AM52" s="1289">
        <v>82.67</v>
      </c>
      <c r="AN52" s="1289">
        <v>83.9</v>
      </c>
      <c r="AO52" s="1289">
        <v>85.13</v>
      </c>
      <c r="AP52" s="1289">
        <v>86.37</v>
      </c>
      <c r="AQ52" s="1289">
        <v>64.16</v>
      </c>
      <c r="AR52" s="1289">
        <v>62.93</v>
      </c>
      <c r="AS52" s="1289">
        <v>49.35</v>
      </c>
      <c r="AT52" s="1289">
        <v>48.11</v>
      </c>
      <c r="AU52" s="1289">
        <v>46.88</v>
      </c>
    </row>
    <row r="53" spans="1:47">
      <c r="A53" s="1296">
        <v>109.18</v>
      </c>
      <c r="B53" s="1297">
        <v>110.96</v>
      </c>
      <c r="C53" s="1298">
        <v>112.75</v>
      </c>
      <c r="D53" s="1299">
        <v>114.53</v>
      </c>
      <c r="E53" s="1300">
        <v>116.31</v>
      </c>
      <c r="F53" s="1300">
        <v>118.1</v>
      </c>
      <c r="G53" s="1300">
        <v>119.88</v>
      </c>
      <c r="H53" s="1301">
        <v>121.67</v>
      </c>
      <c r="I53" s="1288">
        <v>123.45</v>
      </c>
      <c r="J53" s="1288">
        <v>125.23</v>
      </c>
      <c r="K53" s="1288">
        <v>127.02</v>
      </c>
      <c r="L53" s="1288">
        <v>128.80000000000001</v>
      </c>
      <c r="M53" s="1288">
        <v>130.58000000000001</v>
      </c>
      <c r="N53" s="1288">
        <v>132.37</v>
      </c>
      <c r="O53" s="1289">
        <v>134.15</v>
      </c>
      <c r="P53" s="1289">
        <v>135.93</v>
      </c>
      <c r="Q53" s="1289">
        <v>137.72</v>
      </c>
      <c r="R53" s="1289">
        <v>139.5</v>
      </c>
      <c r="S53" s="1289">
        <v>107.4</v>
      </c>
      <c r="T53" s="1289">
        <v>105.61</v>
      </c>
      <c r="U53" s="1289">
        <v>78.650000000000006</v>
      </c>
      <c r="V53" s="1289">
        <v>76.87</v>
      </c>
      <c r="W53" s="1289">
        <v>75.08</v>
      </c>
      <c r="X53" s="62">
        <v>49</v>
      </c>
      <c r="Y53" s="1296">
        <v>66.75</v>
      </c>
      <c r="Z53" s="1297">
        <v>68.010000000000005</v>
      </c>
      <c r="AA53" s="1302">
        <v>69.7</v>
      </c>
      <c r="AB53" s="1299">
        <v>70.53</v>
      </c>
      <c r="AC53" s="1300">
        <v>71.790000000000006</v>
      </c>
      <c r="AD53" s="1300">
        <v>73.05</v>
      </c>
      <c r="AE53" s="1285">
        <v>74.31</v>
      </c>
      <c r="AF53" s="1301">
        <v>75.569999999999993</v>
      </c>
      <c r="AG53" s="1288">
        <v>76.83</v>
      </c>
      <c r="AH53" s="1288">
        <v>78.09</v>
      </c>
      <c r="AI53" s="1288">
        <v>79.349999999999994</v>
      </c>
      <c r="AJ53" s="1288">
        <v>80.599999999999994</v>
      </c>
      <c r="AK53" s="1288">
        <v>81.86</v>
      </c>
      <c r="AL53" s="1288">
        <v>83.12</v>
      </c>
      <c r="AM53" s="1289">
        <v>84.38</v>
      </c>
      <c r="AN53" s="1289">
        <v>85.64</v>
      </c>
      <c r="AO53" s="1289">
        <v>86.9</v>
      </c>
      <c r="AP53" s="1289">
        <v>88.16</v>
      </c>
      <c r="AQ53" s="1289">
        <v>65.489999999999995</v>
      </c>
      <c r="AR53" s="1289">
        <v>64.23</v>
      </c>
      <c r="AS53" s="1289">
        <v>50.37</v>
      </c>
      <c r="AT53" s="1289">
        <v>49.11</v>
      </c>
      <c r="AU53" s="1289">
        <v>47.85</v>
      </c>
    </row>
    <row r="54" spans="1:47">
      <c r="A54" s="1296">
        <v>111.38</v>
      </c>
      <c r="B54" s="1297">
        <v>113.2</v>
      </c>
      <c r="C54" s="1298">
        <v>115.02</v>
      </c>
      <c r="D54" s="1299">
        <v>116.84</v>
      </c>
      <c r="E54" s="1300">
        <v>118.66</v>
      </c>
      <c r="F54" s="1300">
        <v>120.48</v>
      </c>
      <c r="G54" s="1300">
        <v>122.3</v>
      </c>
      <c r="H54" s="1301">
        <v>124.12</v>
      </c>
      <c r="I54" s="1288">
        <v>125.94</v>
      </c>
      <c r="J54" s="1288">
        <v>127.76</v>
      </c>
      <c r="K54" s="1288">
        <v>129.58000000000001</v>
      </c>
      <c r="L54" s="1288">
        <v>131.4</v>
      </c>
      <c r="M54" s="1288">
        <v>133.22</v>
      </c>
      <c r="N54" s="1288">
        <v>135.04</v>
      </c>
      <c r="O54" s="1289">
        <v>136.86000000000001</v>
      </c>
      <c r="P54" s="1289">
        <v>138.68</v>
      </c>
      <c r="Q54" s="1289">
        <v>140.5</v>
      </c>
      <c r="R54" s="1289">
        <v>142.32</v>
      </c>
      <c r="S54" s="1289">
        <v>109.56</v>
      </c>
      <c r="T54" s="1289">
        <v>107.74</v>
      </c>
      <c r="U54" s="1289">
        <v>80.239999999999995</v>
      </c>
      <c r="V54" s="1289">
        <v>78.42</v>
      </c>
      <c r="W54" s="1289">
        <v>76.599999999999994</v>
      </c>
      <c r="X54" s="62">
        <v>50</v>
      </c>
      <c r="Y54" s="1296">
        <v>68.099999999999994</v>
      </c>
      <c r="Z54" s="1297">
        <v>69.39</v>
      </c>
      <c r="AA54" s="1302">
        <v>70.599999999999994</v>
      </c>
      <c r="AB54" s="1299">
        <v>71.959999999999994</v>
      </c>
      <c r="AC54" s="1300">
        <v>73.239999999999995</v>
      </c>
      <c r="AD54" s="1300">
        <v>74.53</v>
      </c>
      <c r="AE54" s="1285">
        <v>75.81</v>
      </c>
      <c r="AF54" s="1301">
        <v>77.099999999999994</v>
      </c>
      <c r="AG54" s="1288">
        <v>78.38</v>
      </c>
      <c r="AH54" s="1288">
        <v>79.67</v>
      </c>
      <c r="AI54" s="1288">
        <v>80.95</v>
      </c>
      <c r="AJ54" s="1288">
        <v>82.24</v>
      </c>
      <c r="AK54" s="1288">
        <v>83.52</v>
      </c>
      <c r="AL54" s="1288">
        <v>84.81</v>
      </c>
      <c r="AM54" s="1289">
        <v>86.09</v>
      </c>
      <c r="AN54" s="1289">
        <v>87.38</v>
      </c>
      <c r="AO54" s="1289">
        <v>88.66</v>
      </c>
      <c r="AP54" s="1289">
        <v>89.95</v>
      </c>
      <c r="AQ54" s="1289">
        <v>66.819999999999993</v>
      </c>
      <c r="AR54" s="1289">
        <v>65.53</v>
      </c>
      <c r="AS54" s="1289">
        <v>51.39</v>
      </c>
      <c r="AT54" s="1289">
        <v>50.11</v>
      </c>
      <c r="AU54" s="1289">
        <v>48.82</v>
      </c>
    </row>
    <row r="55" spans="1:47">
      <c r="A55" s="1296">
        <v>113.6</v>
      </c>
      <c r="B55" s="1297">
        <v>115.46</v>
      </c>
      <c r="C55" s="1298">
        <v>117.31</v>
      </c>
      <c r="D55" s="1299">
        <v>119.17</v>
      </c>
      <c r="E55" s="1300">
        <v>121.03</v>
      </c>
      <c r="F55" s="1300">
        <v>122.88</v>
      </c>
      <c r="G55" s="1300">
        <v>124.74</v>
      </c>
      <c r="H55" s="1301">
        <v>126.59</v>
      </c>
      <c r="I55" s="1288">
        <v>128.44999999999999</v>
      </c>
      <c r="J55" s="1288">
        <v>130.31</v>
      </c>
      <c r="K55" s="1288">
        <v>132.16</v>
      </c>
      <c r="L55" s="1288">
        <v>134.02000000000001</v>
      </c>
      <c r="M55" s="1288">
        <v>135.88</v>
      </c>
      <c r="N55" s="1288">
        <v>137.72999999999999</v>
      </c>
      <c r="O55" s="1289">
        <v>139.59</v>
      </c>
      <c r="P55" s="1289">
        <v>141.44999999999999</v>
      </c>
      <c r="Q55" s="1289">
        <v>143.30000000000001</v>
      </c>
      <c r="R55" s="1289">
        <v>145.16</v>
      </c>
      <c r="S55" s="1289">
        <v>111.74</v>
      </c>
      <c r="T55" s="1289">
        <v>109.89</v>
      </c>
      <c r="U55" s="1289">
        <v>81.84</v>
      </c>
      <c r="V55" s="1289">
        <v>79.98</v>
      </c>
      <c r="W55" s="1289">
        <v>78.13</v>
      </c>
      <c r="X55" s="62">
        <v>51</v>
      </c>
      <c r="Y55" s="1296">
        <v>69.45</v>
      </c>
      <c r="Z55" s="1297">
        <v>70.760000000000005</v>
      </c>
      <c r="AA55" s="1302">
        <v>72</v>
      </c>
      <c r="AB55" s="1299">
        <v>73.39</v>
      </c>
      <c r="AC55" s="1300">
        <v>74.7</v>
      </c>
      <c r="AD55" s="1300">
        <v>76.010000000000005</v>
      </c>
      <c r="AE55" s="1285">
        <v>77.319999999999993</v>
      </c>
      <c r="AF55" s="1301">
        <v>78.63</v>
      </c>
      <c r="AG55" s="1288">
        <v>79.94</v>
      </c>
      <c r="AH55" s="1288">
        <v>81.25</v>
      </c>
      <c r="AI55" s="1288">
        <v>82.56</v>
      </c>
      <c r="AJ55" s="1288">
        <v>83.87</v>
      </c>
      <c r="AK55" s="1288">
        <v>85.18</v>
      </c>
      <c r="AL55" s="1288">
        <v>86.49</v>
      </c>
      <c r="AM55" s="1289">
        <v>87.8</v>
      </c>
      <c r="AN55" s="1289">
        <v>89.11</v>
      </c>
      <c r="AO55" s="1289">
        <v>90.43</v>
      </c>
      <c r="AP55" s="1289">
        <v>91.74</v>
      </c>
      <c r="AQ55" s="1289">
        <v>68.14</v>
      </c>
      <c r="AR55" s="1289">
        <v>66.83</v>
      </c>
      <c r="AS55" s="1289">
        <v>52.41</v>
      </c>
      <c r="AT55" s="1289">
        <v>51.1</v>
      </c>
      <c r="AU55" s="1289">
        <v>49.79</v>
      </c>
    </row>
    <row r="56" spans="1:47">
      <c r="A56" s="1296">
        <v>115.79</v>
      </c>
      <c r="B56" s="1297">
        <v>117.68</v>
      </c>
      <c r="C56" s="1298">
        <v>119.57</v>
      </c>
      <c r="D56" s="1299">
        <v>121.47</v>
      </c>
      <c r="E56" s="1300">
        <v>123.36</v>
      </c>
      <c r="F56" s="1300">
        <v>125.25</v>
      </c>
      <c r="G56" s="1300">
        <v>127.15</v>
      </c>
      <c r="H56" s="1301">
        <v>129.04</v>
      </c>
      <c r="I56" s="1288">
        <v>130.93</v>
      </c>
      <c r="J56" s="1288">
        <v>132.82</v>
      </c>
      <c r="K56" s="1288">
        <v>134.72</v>
      </c>
      <c r="L56" s="1288">
        <v>136.61000000000001</v>
      </c>
      <c r="M56" s="1288">
        <v>138.5</v>
      </c>
      <c r="N56" s="1288">
        <v>140.38999999999999</v>
      </c>
      <c r="O56" s="1289">
        <v>142.29</v>
      </c>
      <c r="P56" s="1289">
        <v>144.18</v>
      </c>
      <c r="Q56" s="1289">
        <v>146.07</v>
      </c>
      <c r="R56" s="1289">
        <v>147.97</v>
      </c>
      <c r="S56" s="1289">
        <v>113.9</v>
      </c>
      <c r="T56" s="1289">
        <v>112</v>
      </c>
      <c r="U56" s="1289">
        <v>83.42</v>
      </c>
      <c r="V56" s="1289">
        <v>81.53</v>
      </c>
      <c r="W56" s="1289">
        <v>79.63</v>
      </c>
      <c r="X56" s="62">
        <v>52</v>
      </c>
      <c r="Y56" s="1296">
        <v>70.8</v>
      </c>
      <c r="Z56" s="1297">
        <v>72.13</v>
      </c>
      <c r="AA56" s="1302">
        <v>73.400000000000006</v>
      </c>
      <c r="AB56" s="1299">
        <v>74.81</v>
      </c>
      <c r="AC56" s="1300">
        <v>76.14</v>
      </c>
      <c r="AD56" s="1300">
        <v>77.48</v>
      </c>
      <c r="AE56" s="1285">
        <v>78.819999999999993</v>
      </c>
      <c r="AF56" s="1301">
        <v>80.150000000000006</v>
      </c>
      <c r="AG56" s="1288">
        <v>81.489999999999995</v>
      </c>
      <c r="AH56" s="1288">
        <v>82.82</v>
      </c>
      <c r="AI56" s="1288">
        <v>84.16</v>
      </c>
      <c r="AJ56" s="1288">
        <v>85.5</v>
      </c>
      <c r="AK56" s="1288">
        <v>86.83</v>
      </c>
      <c r="AL56" s="1288">
        <v>88.17</v>
      </c>
      <c r="AM56" s="1289">
        <v>89.51</v>
      </c>
      <c r="AN56" s="1289">
        <v>90.84</v>
      </c>
      <c r="AO56" s="1289">
        <v>92.18</v>
      </c>
      <c r="AP56" s="1289">
        <v>93.52</v>
      </c>
      <c r="AQ56" s="1289">
        <v>69.459999999999994</v>
      </c>
      <c r="AR56" s="1289">
        <v>68.12</v>
      </c>
      <c r="AS56" s="1289">
        <v>53.43</v>
      </c>
      <c r="AT56" s="1289">
        <v>52.09</v>
      </c>
      <c r="AU56" s="1289">
        <v>50.76</v>
      </c>
    </row>
    <row r="57" spans="1:47">
      <c r="A57" s="1296">
        <v>117.99</v>
      </c>
      <c r="B57" s="1297">
        <v>119.92</v>
      </c>
      <c r="C57" s="1298">
        <v>121.85</v>
      </c>
      <c r="D57" s="1299">
        <v>123.78</v>
      </c>
      <c r="E57" s="1300">
        <v>125.71</v>
      </c>
      <c r="F57" s="1300">
        <v>127.64</v>
      </c>
      <c r="G57" s="1300">
        <v>129.57</v>
      </c>
      <c r="H57" s="1301">
        <v>131.5</v>
      </c>
      <c r="I57" s="1288">
        <v>133.43</v>
      </c>
      <c r="J57" s="1288">
        <v>133.36000000000001</v>
      </c>
      <c r="K57" s="1288">
        <v>137.28</v>
      </c>
      <c r="L57" s="1288">
        <v>139.21</v>
      </c>
      <c r="M57" s="1288">
        <v>141.13999999999999</v>
      </c>
      <c r="N57" s="1288">
        <v>143.07</v>
      </c>
      <c r="O57" s="1289">
        <v>145</v>
      </c>
      <c r="P57" s="1289">
        <v>146.93</v>
      </c>
      <c r="Q57" s="1289">
        <v>148.86000000000001</v>
      </c>
      <c r="R57" s="1289">
        <v>150.79</v>
      </c>
      <c r="S57" s="1289">
        <v>116.06</v>
      </c>
      <c r="T57" s="1289">
        <v>114.13</v>
      </c>
      <c r="U57" s="1289">
        <v>85.01</v>
      </c>
      <c r="V57" s="1289">
        <v>83.08</v>
      </c>
      <c r="W57" s="1289">
        <v>81.150000000000006</v>
      </c>
      <c r="X57" s="62">
        <v>53</v>
      </c>
      <c r="Y57" s="1296">
        <v>72.14</v>
      </c>
      <c r="Z57" s="1297">
        <v>73.510000000000005</v>
      </c>
      <c r="AA57" s="1302">
        <v>74.87</v>
      </c>
      <c r="AB57" s="1299">
        <v>76.23</v>
      </c>
      <c r="AC57" s="1300">
        <v>77.59</v>
      </c>
      <c r="AD57" s="1300">
        <v>78.95</v>
      </c>
      <c r="AE57" s="1285">
        <v>80.319999999999993</v>
      </c>
      <c r="AF57" s="1301">
        <v>81.680000000000007</v>
      </c>
      <c r="AG57" s="1288">
        <v>83.04</v>
      </c>
      <c r="AH57" s="1288">
        <v>84.4</v>
      </c>
      <c r="AI57" s="1288">
        <v>85.77</v>
      </c>
      <c r="AJ57" s="1288">
        <v>87.13</v>
      </c>
      <c r="AK57" s="1288">
        <v>88.49</v>
      </c>
      <c r="AL57" s="1288">
        <v>89.85</v>
      </c>
      <c r="AM57" s="1289">
        <v>91.21</v>
      </c>
      <c r="AN57" s="1289">
        <v>92.58</v>
      </c>
      <c r="AO57" s="1289">
        <v>93.94</v>
      </c>
      <c r="AP57" s="1289">
        <v>95.3</v>
      </c>
      <c r="AQ57" s="1289">
        <v>70.78</v>
      </c>
      <c r="AR57" s="1289">
        <v>69.42</v>
      </c>
      <c r="AS57" s="1289">
        <v>54.45</v>
      </c>
      <c r="AT57" s="1289">
        <v>53.09</v>
      </c>
      <c r="AU57" s="1289">
        <v>51.72</v>
      </c>
    </row>
    <row r="58" spans="1:47">
      <c r="A58" s="1296">
        <v>120.21</v>
      </c>
      <c r="B58" s="1297">
        <v>122.18</v>
      </c>
      <c r="C58" s="1298">
        <v>124.14</v>
      </c>
      <c r="D58" s="1299">
        <v>126.11</v>
      </c>
      <c r="E58" s="1300">
        <v>128.08000000000001</v>
      </c>
      <c r="F58" s="1300">
        <v>130.04</v>
      </c>
      <c r="G58" s="1300">
        <v>133.01</v>
      </c>
      <c r="H58" s="1301">
        <v>133.97</v>
      </c>
      <c r="I58" s="1288">
        <v>135.94</v>
      </c>
      <c r="J58" s="1288">
        <v>137.9</v>
      </c>
      <c r="K58" s="1288">
        <v>139.87</v>
      </c>
      <c r="L58" s="1288">
        <v>141.83000000000001</v>
      </c>
      <c r="M58" s="1288">
        <v>143.80000000000001</v>
      </c>
      <c r="N58" s="1288">
        <v>145.77000000000001</v>
      </c>
      <c r="O58" s="1289">
        <v>147.72999999999999</v>
      </c>
      <c r="P58" s="1289">
        <v>149.69999999999999</v>
      </c>
      <c r="Q58" s="1289">
        <v>151.66</v>
      </c>
      <c r="R58" s="1289">
        <v>153.63</v>
      </c>
      <c r="S58" s="1289">
        <v>118.25</v>
      </c>
      <c r="T58" s="1289">
        <v>116.28</v>
      </c>
      <c r="U58" s="1289">
        <v>86.61</v>
      </c>
      <c r="V58" s="1289">
        <v>84.65</v>
      </c>
      <c r="W58" s="1289">
        <v>82.68</v>
      </c>
      <c r="X58" s="62">
        <v>54</v>
      </c>
      <c r="Y58" s="1296">
        <v>73.5</v>
      </c>
      <c r="Z58" s="1297">
        <v>74.88</v>
      </c>
      <c r="AA58" s="1302">
        <v>76.27</v>
      </c>
      <c r="AB58" s="1299">
        <v>77.66</v>
      </c>
      <c r="AC58" s="1300">
        <v>79.05</v>
      </c>
      <c r="AD58" s="1300">
        <v>80.430000000000007</v>
      </c>
      <c r="AE58" s="1285">
        <v>81.819999999999993</v>
      </c>
      <c r="AF58" s="1301">
        <v>83.21</v>
      </c>
      <c r="AG58" s="1288">
        <v>84.6</v>
      </c>
      <c r="AH58" s="1288">
        <v>85.99</v>
      </c>
      <c r="AI58" s="1288">
        <v>87.37</v>
      </c>
      <c r="AJ58" s="1288">
        <v>88.76</v>
      </c>
      <c r="AK58" s="1288">
        <v>90.15</v>
      </c>
      <c r="AL58" s="1288">
        <v>91.54</v>
      </c>
      <c r="AM58" s="1289">
        <v>92.92</v>
      </c>
      <c r="AN58" s="1289">
        <v>94.31</v>
      </c>
      <c r="AO58" s="1289">
        <v>95.7</v>
      </c>
      <c r="AP58" s="1289">
        <v>97.09</v>
      </c>
      <c r="AQ58" s="1289">
        <v>72.11</v>
      </c>
      <c r="AR58" s="1289">
        <v>70.72</v>
      </c>
      <c r="AS58" s="1289">
        <v>55.47</v>
      </c>
      <c r="AT58" s="1289">
        <v>54.08</v>
      </c>
      <c r="AU58" s="1289">
        <v>52.69</v>
      </c>
    </row>
    <row r="59" spans="1:47">
      <c r="A59" s="1296">
        <v>122.4</v>
      </c>
      <c r="B59" s="1297">
        <v>124.4</v>
      </c>
      <c r="C59" s="1298">
        <v>126.4</v>
      </c>
      <c r="D59" s="1299">
        <v>128.4</v>
      </c>
      <c r="E59" s="1300">
        <v>130.41</v>
      </c>
      <c r="F59" s="1300">
        <v>132.41</v>
      </c>
      <c r="G59" s="1300">
        <v>134.41</v>
      </c>
      <c r="H59" s="1301">
        <v>136.41</v>
      </c>
      <c r="I59" s="1288">
        <v>138.41</v>
      </c>
      <c r="J59" s="1288">
        <v>140.41999999999999</v>
      </c>
      <c r="K59" s="1288">
        <v>142.41999999999999</v>
      </c>
      <c r="L59" s="1288">
        <v>144.41999999999999</v>
      </c>
      <c r="M59" s="1288">
        <v>146.41999999999999</v>
      </c>
      <c r="N59" s="1288">
        <v>148.41999999999999</v>
      </c>
      <c r="O59" s="1289">
        <v>150.43</v>
      </c>
      <c r="P59" s="1289">
        <v>152.43</v>
      </c>
      <c r="Q59" s="1289">
        <v>154.43</v>
      </c>
      <c r="R59" s="1289">
        <v>156.43</v>
      </c>
      <c r="S59" s="1289">
        <v>120.4</v>
      </c>
      <c r="T59" s="1289">
        <v>118.39</v>
      </c>
      <c r="U59" s="1289">
        <v>88.19</v>
      </c>
      <c r="V59" s="1289">
        <v>86.19</v>
      </c>
      <c r="W59" s="1289">
        <v>84.19</v>
      </c>
      <c r="X59" s="62">
        <v>55</v>
      </c>
      <c r="Y59" s="1296">
        <v>74.849999999999994</v>
      </c>
      <c r="Z59" s="1297">
        <v>76.260000000000005</v>
      </c>
      <c r="AA59" s="1302">
        <v>77.680000000000007</v>
      </c>
      <c r="AB59" s="1299">
        <v>79.09</v>
      </c>
      <c r="AC59" s="1300">
        <v>80.5</v>
      </c>
      <c r="AD59" s="1300">
        <v>81.92</v>
      </c>
      <c r="AE59" s="1285">
        <v>83.33</v>
      </c>
      <c r="AF59" s="1301">
        <v>84.74</v>
      </c>
      <c r="AG59" s="1288">
        <v>86.16</v>
      </c>
      <c r="AH59" s="1288">
        <v>87.57</v>
      </c>
      <c r="AI59" s="1288">
        <v>88.99</v>
      </c>
      <c r="AJ59" s="1288">
        <v>90.4</v>
      </c>
      <c r="AK59" s="1288">
        <v>91.81</v>
      </c>
      <c r="AL59" s="1288">
        <v>93.23</v>
      </c>
      <c r="AM59" s="1289">
        <v>94.64</v>
      </c>
      <c r="AN59" s="1289">
        <v>96.05</v>
      </c>
      <c r="AO59" s="1289">
        <v>97.47</v>
      </c>
      <c r="AP59" s="1289">
        <v>98.88</v>
      </c>
      <c r="AQ59" s="1289">
        <v>73.44</v>
      </c>
      <c r="AR59" s="1289">
        <v>72.02</v>
      </c>
      <c r="AS59" s="1289">
        <v>56.49</v>
      </c>
      <c r="AT59" s="1289">
        <v>55.08</v>
      </c>
      <c r="AU59" s="1289">
        <v>53.67</v>
      </c>
    </row>
    <row r="60" spans="1:47">
      <c r="A60" s="1296">
        <v>124.6</v>
      </c>
      <c r="B60" s="1297">
        <v>126.63</v>
      </c>
      <c r="C60" s="1298">
        <v>128.66999999999999</v>
      </c>
      <c r="D60" s="1299">
        <v>130.71</v>
      </c>
      <c r="E60" s="1300">
        <v>132.75</v>
      </c>
      <c r="F60" s="1300">
        <v>134.79</v>
      </c>
      <c r="G60" s="1300">
        <v>136.26</v>
      </c>
      <c r="H60" s="1301">
        <v>138.86000000000001</v>
      </c>
      <c r="I60" s="1288">
        <v>140.9</v>
      </c>
      <c r="J60" s="1288">
        <v>142.94</v>
      </c>
      <c r="K60" s="1288">
        <v>144.97999999999999</v>
      </c>
      <c r="L60" s="1288">
        <v>147.02000000000001</v>
      </c>
      <c r="M60" s="1288">
        <v>149.06</v>
      </c>
      <c r="N60" s="1288">
        <v>151.1</v>
      </c>
      <c r="O60" s="1289">
        <v>153.13</v>
      </c>
      <c r="P60" s="1289">
        <v>155.16999999999999</v>
      </c>
      <c r="Q60" s="1289">
        <v>157.21</v>
      </c>
      <c r="R60" s="1289">
        <v>159.25</v>
      </c>
      <c r="S60" s="1289">
        <v>122.56</v>
      </c>
      <c r="T60" s="1289">
        <v>120.52</v>
      </c>
      <c r="U60" s="1289">
        <v>89.78</v>
      </c>
      <c r="V60" s="1289">
        <v>87.74</v>
      </c>
      <c r="W60" s="1289">
        <v>85.7</v>
      </c>
      <c r="X60" s="62">
        <v>56</v>
      </c>
      <c r="Y60" s="1296">
        <v>76.19</v>
      </c>
      <c r="Z60" s="1297">
        <v>77.63</v>
      </c>
      <c r="AA60" s="1302">
        <v>79.069999999999993</v>
      </c>
      <c r="AB60" s="1299">
        <v>80.510000000000005</v>
      </c>
      <c r="AC60" s="1300">
        <v>81.95</v>
      </c>
      <c r="AD60" s="1300">
        <v>83.39</v>
      </c>
      <c r="AE60" s="1285">
        <v>84.83</v>
      </c>
      <c r="AF60" s="1301">
        <v>86.27</v>
      </c>
      <c r="AG60" s="1288">
        <v>87.71</v>
      </c>
      <c r="AH60" s="1288">
        <v>89.15</v>
      </c>
      <c r="AI60" s="1288">
        <v>90.59</v>
      </c>
      <c r="AJ60" s="1288">
        <v>92.03</v>
      </c>
      <c r="AK60" s="1288">
        <v>93.46</v>
      </c>
      <c r="AL60" s="1288">
        <v>94.9</v>
      </c>
      <c r="AM60" s="1289">
        <v>96.34</v>
      </c>
      <c r="AN60" s="1289">
        <v>97.78</v>
      </c>
      <c r="AO60" s="1289">
        <v>99.22</v>
      </c>
      <c r="AP60" s="1289">
        <v>100.66</v>
      </c>
      <c r="AQ60" s="1289">
        <v>74.75</v>
      </c>
      <c r="AR60" s="1289">
        <v>73.319999999999993</v>
      </c>
      <c r="AS60" s="1289">
        <v>57.51</v>
      </c>
      <c r="AT60" s="1289">
        <v>56.07</v>
      </c>
      <c r="AU60" s="1289">
        <v>54.63</v>
      </c>
    </row>
    <row r="61" spans="1:47">
      <c r="A61" s="1296">
        <v>126.81</v>
      </c>
      <c r="B61" s="1297">
        <v>128.88</v>
      </c>
      <c r="C61" s="1298">
        <v>130.96</v>
      </c>
      <c r="D61" s="1299">
        <v>133.03</v>
      </c>
      <c r="E61" s="1300">
        <v>135.11000000000001</v>
      </c>
      <c r="F61" s="1300">
        <v>137.18</v>
      </c>
      <c r="G61" s="1300">
        <v>139.26</v>
      </c>
      <c r="H61" s="1301">
        <v>141.33000000000001</v>
      </c>
      <c r="I61" s="1288">
        <v>143.41</v>
      </c>
      <c r="J61" s="1288">
        <v>145.47999999999999</v>
      </c>
      <c r="K61" s="1288">
        <v>147.56</v>
      </c>
      <c r="L61" s="1288">
        <v>149.63</v>
      </c>
      <c r="M61" s="1288">
        <v>151.71</v>
      </c>
      <c r="N61" s="1288">
        <v>153.78</v>
      </c>
      <c r="O61" s="1289">
        <v>155.86000000000001</v>
      </c>
      <c r="P61" s="1289">
        <v>157.93</v>
      </c>
      <c r="Q61" s="1289">
        <v>160.01</v>
      </c>
      <c r="R61" s="1289">
        <v>162.08000000000001</v>
      </c>
      <c r="S61" s="1289">
        <v>124.73</v>
      </c>
      <c r="T61" s="1289">
        <v>122.66</v>
      </c>
      <c r="U61" s="1289">
        <v>91.38</v>
      </c>
      <c r="V61" s="1289">
        <v>89.3</v>
      </c>
      <c r="W61" s="1289">
        <v>87.23</v>
      </c>
      <c r="X61" s="62">
        <v>57</v>
      </c>
      <c r="Y61" s="1296">
        <v>77.540000000000006</v>
      </c>
      <c r="Z61" s="1297">
        <v>79.010000000000005</v>
      </c>
      <c r="AA61" s="1302">
        <v>80.47</v>
      </c>
      <c r="AB61" s="1299">
        <v>81.94</v>
      </c>
      <c r="AC61" s="1300">
        <v>83.4</v>
      </c>
      <c r="AD61" s="1300">
        <v>84.87</v>
      </c>
      <c r="AE61" s="1285">
        <v>86.33</v>
      </c>
      <c r="AF61" s="1301">
        <v>87.8</v>
      </c>
      <c r="AG61" s="1288">
        <v>89.26</v>
      </c>
      <c r="AH61" s="1288">
        <v>90.73</v>
      </c>
      <c r="AI61" s="1288">
        <v>92.19</v>
      </c>
      <c r="AJ61" s="1288">
        <v>93.65</v>
      </c>
      <c r="AK61" s="1288">
        <v>95.12</v>
      </c>
      <c r="AL61" s="1288">
        <v>96.58</v>
      </c>
      <c r="AM61" s="1289">
        <v>98.05</v>
      </c>
      <c r="AN61" s="1289">
        <v>99.51</v>
      </c>
      <c r="AO61" s="1289">
        <v>100.98</v>
      </c>
      <c r="AP61" s="1289">
        <v>102.44</v>
      </c>
      <c r="AQ61" s="1289">
        <v>76.08</v>
      </c>
      <c r="AR61" s="1289">
        <v>74.61</v>
      </c>
      <c r="AS61" s="1289">
        <v>58.53</v>
      </c>
      <c r="AT61" s="1289">
        <v>57.06</v>
      </c>
      <c r="AU61" s="1289">
        <v>55.6</v>
      </c>
    </row>
    <row r="62" spans="1:47">
      <c r="A62" s="1296">
        <v>129.04</v>
      </c>
      <c r="B62" s="1297">
        <v>131.15</v>
      </c>
      <c r="C62" s="1298">
        <v>133.26</v>
      </c>
      <c r="D62" s="1299">
        <v>135.37</v>
      </c>
      <c r="E62" s="1300">
        <v>137.47999999999999</v>
      </c>
      <c r="F62" s="1300">
        <v>139.6</v>
      </c>
      <c r="G62" s="1300">
        <v>141.71</v>
      </c>
      <c r="H62" s="1301">
        <v>143.82</v>
      </c>
      <c r="I62" s="1288">
        <v>145.93</v>
      </c>
      <c r="J62" s="1288">
        <v>148.04</v>
      </c>
      <c r="K62" s="1288">
        <v>150.15</v>
      </c>
      <c r="L62" s="1288">
        <v>152.26</v>
      </c>
      <c r="M62" s="1288">
        <v>154.37</v>
      </c>
      <c r="N62" s="1288">
        <v>156.49</v>
      </c>
      <c r="O62" s="1289">
        <v>158.6</v>
      </c>
      <c r="P62" s="1289">
        <v>160.71</v>
      </c>
      <c r="Q62" s="1289">
        <v>162.82</v>
      </c>
      <c r="R62" s="1289">
        <v>164.93</v>
      </c>
      <c r="S62" s="1289">
        <v>126.93</v>
      </c>
      <c r="T62" s="1289">
        <v>124.82</v>
      </c>
      <c r="U62" s="1289">
        <v>92.98</v>
      </c>
      <c r="V62" s="1289">
        <v>90.87</v>
      </c>
      <c r="W62" s="1289">
        <v>88.76</v>
      </c>
      <c r="X62" s="62">
        <v>58</v>
      </c>
      <c r="Y62" s="1296">
        <v>78.900000000000006</v>
      </c>
      <c r="Z62" s="1297">
        <v>80.38</v>
      </c>
      <c r="AA62" s="1302">
        <v>81.87</v>
      </c>
      <c r="AB62" s="1299">
        <v>83.36</v>
      </c>
      <c r="AC62" s="1300">
        <v>84.85</v>
      </c>
      <c r="AD62" s="1300">
        <v>86.34</v>
      </c>
      <c r="AE62" s="1285">
        <v>87.84</v>
      </c>
      <c r="AF62" s="1301">
        <v>89.33</v>
      </c>
      <c r="AG62" s="1288">
        <v>90.82</v>
      </c>
      <c r="AH62" s="1288">
        <v>92.31</v>
      </c>
      <c r="AI62" s="1288">
        <v>93.8</v>
      </c>
      <c r="AJ62" s="1288">
        <v>95.29</v>
      </c>
      <c r="AK62" s="1288">
        <v>96.78</v>
      </c>
      <c r="AL62" s="1288">
        <v>98.27</v>
      </c>
      <c r="AM62" s="1289">
        <v>99.76</v>
      </c>
      <c r="AN62" s="1289">
        <v>101.25</v>
      </c>
      <c r="AO62" s="1289">
        <v>102.74</v>
      </c>
      <c r="AP62" s="1289">
        <v>104.23</v>
      </c>
      <c r="AQ62" s="1289">
        <v>77.400000000000006</v>
      </c>
      <c r="AR62" s="1289">
        <v>75.91</v>
      </c>
      <c r="AS62" s="1289">
        <v>59.55</v>
      </c>
      <c r="AT62" s="1289">
        <v>58.06</v>
      </c>
      <c r="AU62" s="1289">
        <v>56.57</v>
      </c>
    </row>
    <row r="63" spans="1:47">
      <c r="A63" s="1296">
        <v>131.22</v>
      </c>
      <c r="B63" s="1297">
        <v>133.37</v>
      </c>
      <c r="C63" s="1298">
        <v>135.52000000000001</v>
      </c>
      <c r="D63" s="1299">
        <v>137.66999999999999</v>
      </c>
      <c r="E63" s="1300">
        <v>139.82</v>
      </c>
      <c r="F63" s="1300">
        <v>141.96</v>
      </c>
      <c r="G63" s="1300">
        <v>144.11000000000001</v>
      </c>
      <c r="H63" s="1301">
        <v>146.26</v>
      </c>
      <c r="I63" s="1288">
        <v>148.41</v>
      </c>
      <c r="J63" s="1288">
        <v>150.55000000000001</v>
      </c>
      <c r="K63" s="1288">
        <v>152.69999999999999</v>
      </c>
      <c r="L63" s="1288">
        <v>154.85</v>
      </c>
      <c r="M63" s="1288">
        <v>157</v>
      </c>
      <c r="N63" s="1288">
        <v>159.13999999999999</v>
      </c>
      <c r="O63" s="1289">
        <v>161.29</v>
      </c>
      <c r="P63" s="1289">
        <v>163.44</v>
      </c>
      <c r="Q63" s="1289">
        <v>165.59</v>
      </c>
      <c r="R63" s="1289">
        <v>167.73</v>
      </c>
      <c r="S63" s="1289">
        <v>129.08000000000001</v>
      </c>
      <c r="T63" s="1289">
        <v>126.93</v>
      </c>
      <c r="U63" s="1289">
        <v>94.56</v>
      </c>
      <c r="V63" s="1289">
        <v>92.41</v>
      </c>
      <c r="W63" s="1289">
        <v>90.27</v>
      </c>
      <c r="X63" s="62">
        <v>59</v>
      </c>
      <c r="Y63" s="1296">
        <v>80.25</v>
      </c>
      <c r="Z63" s="1297">
        <v>81.760000000000005</v>
      </c>
      <c r="AA63" s="1302">
        <v>83.28</v>
      </c>
      <c r="AB63" s="1299">
        <v>84.79</v>
      </c>
      <c r="AC63" s="1300">
        <v>86.31</v>
      </c>
      <c r="AD63" s="1300">
        <v>87.83</v>
      </c>
      <c r="AE63" s="1285">
        <v>89.34</v>
      </c>
      <c r="AF63" s="1301">
        <v>90.86</v>
      </c>
      <c r="AG63" s="1288">
        <v>92.38</v>
      </c>
      <c r="AH63" s="1288">
        <v>93.89</v>
      </c>
      <c r="AI63" s="1288">
        <v>95.41</v>
      </c>
      <c r="AJ63" s="1288">
        <v>96.93</v>
      </c>
      <c r="AK63" s="1288">
        <v>98.44</v>
      </c>
      <c r="AL63" s="1288">
        <v>99.96</v>
      </c>
      <c r="AM63" s="1289">
        <v>101.47</v>
      </c>
      <c r="AN63" s="1289">
        <v>102.99</v>
      </c>
      <c r="AO63" s="1289">
        <v>104.51</v>
      </c>
      <c r="AP63" s="1289">
        <v>106.02</v>
      </c>
      <c r="AQ63" s="1289">
        <v>78.73</v>
      </c>
      <c r="AR63" s="1289">
        <v>77.209999999999994</v>
      </c>
      <c r="AS63" s="1289">
        <v>60.57</v>
      </c>
      <c r="AT63" s="1289">
        <v>59.05</v>
      </c>
      <c r="AU63" s="1289">
        <v>57.54</v>
      </c>
    </row>
    <row r="64" spans="1:47">
      <c r="A64" s="1296">
        <v>133.41999999999999</v>
      </c>
      <c r="B64" s="1297">
        <v>135.61000000000001</v>
      </c>
      <c r="C64" s="1298">
        <v>137.79</v>
      </c>
      <c r="D64" s="1299">
        <v>139.97999999999999</v>
      </c>
      <c r="E64" s="1300">
        <v>142.16</v>
      </c>
      <c r="F64" s="1300">
        <v>144.34</v>
      </c>
      <c r="G64" s="1300">
        <v>146.53</v>
      </c>
      <c r="H64" s="1301">
        <v>148.71</v>
      </c>
      <c r="I64" s="1288">
        <v>150.9</v>
      </c>
      <c r="J64" s="1288">
        <v>153.08000000000001</v>
      </c>
      <c r="K64" s="1288">
        <v>155.26</v>
      </c>
      <c r="L64" s="1288">
        <v>157.44999999999999</v>
      </c>
      <c r="M64" s="1288">
        <v>159.63</v>
      </c>
      <c r="N64" s="1288">
        <v>161.82</v>
      </c>
      <c r="O64" s="1289">
        <v>164</v>
      </c>
      <c r="P64" s="1289">
        <v>166.18</v>
      </c>
      <c r="Q64" s="1289">
        <v>168.37</v>
      </c>
      <c r="R64" s="1289">
        <v>170.55</v>
      </c>
      <c r="S64" s="1289">
        <v>131.24</v>
      </c>
      <c r="T64" s="1289">
        <v>129.06</v>
      </c>
      <c r="U64" s="1289">
        <v>96.15</v>
      </c>
      <c r="V64" s="1289">
        <v>93.97</v>
      </c>
      <c r="W64" s="1289">
        <v>91.78</v>
      </c>
      <c r="X64" s="62">
        <v>60</v>
      </c>
      <c r="Y64" s="1296">
        <v>81.599999999999994</v>
      </c>
      <c r="Z64" s="1297">
        <v>83.15</v>
      </c>
      <c r="AA64" s="1302">
        <v>84.69</v>
      </c>
      <c r="AB64" s="1299">
        <v>86.23</v>
      </c>
      <c r="AC64" s="1300">
        <v>87.77</v>
      </c>
      <c r="AD64" s="1300">
        <v>89.31</v>
      </c>
      <c r="AE64" s="1285">
        <v>90.86</v>
      </c>
      <c r="AF64" s="1301">
        <v>92.4</v>
      </c>
      <c r="AG64" s="1288">
        <v>93.94</v>
      </c>
      <c r="AH64" s="1288">
        <v>95.48</v>
      </c>
      <c r="AI64" s="1288">
        <v>97.02</v>
      </c>
      <c r="AJ64" s="1288">
        <v>98.57</v>
      </c>
      <c r="AK64" s="1288">
        <v>100.11</v>
      </c>
      <c r="AL64" s="1288">
        <v>101.65</v>
      </c>
      <c r="AM64" s="1289">
        <v>103.19</v>
      </c>
      <c r="AN64" s="1289">
        <v>104.73</v>
      </c>
      <c r="AO64" s="1289">
        <v>106.28</v>
      </c>
      <c r="AP64" s="1289">
        <v>107.82</v>
      </c>
      <c r="AQ64" s="1289">
        <v>80.06</v>
      </c>
      <c r="AR64" s="1289">
        <v>78.52</v>
      </c>
      <c r="AS64" s="1289">
        <v>61.6</v>
      </c>
      <c r="AT64" s="1289">
        <v>60.05</v>
      </c>
      <c r="AU64" s="1289">
        <v>58.51</v>
      </c>
    </row>
    <row r="65" spans="1:47">
      <c r="A65" s="1296">
        <v>135.63999999999999</v>
      </c>
      <c r="B65" s="1297">
        <v>137.86000000000001</v>
      </c>
      <c r="C65" s="1298">
        <v>140.08000000000001</v>
      </c>
      <c r="D65" s="1299">
        <v>142.30000000000001</v>
      </c>
      <c r="E65" s="1300">
        <v>144.52000000000001</v>
      </c>
      <c r="F65" s="1300">
        <v>146.74</v>
      </c>
      <c r="G65" s="1300">
        <v>148.96</v>
      </c>
      <c r="H65" s="1301">
        <v>151.18</v>
      </c>
      <c r="I65" s="1288">
        <v>153.4</v>
      </c>
      <c r="J65" s="1288">
        <v>155.62</v>
      </c>
      <c r="K65" s="1288">
        <v>157.84</v>
      </c>
      <c r="L65" s="1288">
        <v>160.06</v>
      </c>
      <c r="M65" s="1288">
        <v>162.28</v>
      </c>
      <c r="N65" s="1288">
        <v>164.5</v>
      </c>
      <c r="O65" s="1289">
        <v>166.72</v>
      </c>
      <c r="P65" s="1289">
        <v>168.94</v>
      </c>
      <c r="Q65" s="1289">
        <v>171.16</v>
      </c>
      <c r="R65" s="1289">
        <v>173.38</v>
      </c>
      <c r="S65" s="1289">
        <v>133.41999999999999</v>
      </c>
      <c r="T65" s="1289">
        <v>131.19999999999999</v>
      </c>
      <c r="U65" s="1289">
        <v>97.75</v>
      </c>
      <c r="V65" s="1289">
        <v>95.53</v>
      </c>
      <c r="W65" s="1289">
        <v>93.31</v>
      </c>
      <c r="X65" s="62">
        <v>61</v>
      </c>
      <c r="Y65" s="1296">
        <v>82.95</v>
      </c>
      <c r="Z65" s="1297">
        <v>84.52</v>
      </c>
      <c r="AA65" s="1302">
        <v>86.08</v>
      </c>
      <c r="AB65" s="1299">
        <v>87.65</v>
      </c>
      <c r="AC65" s="1300">
        <v>89.22</v>
      </c>
      <c r="AD65" s="1300">
        <v>90.79</v>
      </c>
      <c r="AE65" s="1285">
        <v>92.35</v>
      </c>
      <c r="AF65" s="1301">
        <v>93.92</v>
      </c>
      <c r="AG65" s="1288">
        <v>95.49</v>
      </c>
      <c r="AH65" s="1288">
        <v>97.06</v>
      </c>
      <c r="AI65" s="1288">
        <v>98.63</v>
      </c>
      <c r="AJ65" s="1288">
        <v>100.19</v>
      </c>
      <c r="AK65" s="1288">
        <v>101.76</v>
      </c>
      <c r="AL65" s="1288">
        <v>103.33</v>
      </c>
      <c r="AM65" s="1289">
        <v>104.9</v>
      </c>
      <c r="AN65" s="1289">
        <v>106.46</v>
      </c>
      <c r="AO65" s="1289">
        <v>108.03</v>
      </c>
      <c r="AP65" s="1289">
        <v>109.6</v>
      </c>
      <c r="AQ65" s="1289">
        <v>81.38</v>
      </c>
      <c r="AR65" s="1289">
        <v>79.81</v>
      </c>
      <c r="AS65" s="1289">
        <v>62.61</v>
      </c>
      <c r="AT65" s="1289">
        <v>61.05</v>
      </c>
      <c r="AU65" s="1289">
        <v>59.48</v>
      </c>
    </row>
    <row r="66" spans="1:47">
      <c r="A66" s="1296">
        <v>137.86000000000001</v>
      </c>
      <c r="B66" s="1297">
        <v>140.12</v>
      </c>
      <c r="C66" s="1298">
        <v>142.38</v>
      </c>
      <c r="D66" s="1299">
        <v>144.30000000000001</v>
      </c>
      <c r="E66" s="1300">
        <v>146.88999999999999</v>
      </c>
      <c r="F66" s="1300">
        <v>149.15</v>
      </c>
      <c r="G66" s="1300">
        <v>151.41</v>
      </c>
      <c r="H66" s="1301">
        <v>153.66</v>
      </c>
      <c r="I66" s="1288">
        <v>155.91999999999999</v>
      </c>
      <c r="J66" s="1288">
        <v>158.18</v>
      </c>
      <c r="K66" s="1288">
        <v>160.30000000000001</v>
      </c>
      <c r="L66" s="1288">
        <v>162.69</v>
      </c>
      <c r="M66" s="1288">
        <v>164.95</v>
      </c>
      <c r="N66" s="1288">
        <v>167.2</v>
      </c>
      <c r="O66" s="1289">
        <v>169.46</v>
      </c>
      <c r="P66" s="1289">
        <v>171.72</v>
      </c>
      <c r="Q66" s="1289">
        <v>173.97</v>
      </c>
      <c r="R66" s="1289">
        <v>176.23</v>
      </c>
      <c r="S66" s="1289">
        <v>135.61000000000001</v>
      </c>
      <c r="T66" s="1289">
        <v>133.35</v>
      </c>
      <c r="U66" s="1289">
        <v>99.35</v>
      </c>
      <c r="V66" s="1289">
        <v>97.09</v>
      </c>
      <c r="W66" s="1289">
        <v>94.84</v>
      </c>
      <c r="X66" s="62">
        <v>62</v>
      </c>
      <c r="Y66" s="1296">
        <v>84.3</v>
      </c>
      <c r="Z66" s="1297">
        <v>85.59</v>
      </c>
      <c r="AA66" s="1302">
        <v>87.48</v>
      </c>
      <c r="AB66" s="1299">
        <v>89.08</v>
      </c>
      <c r="AC66" s="1300">
        <v>90.67</v>
      </c>
      <c r="AD66" s="1300">
        <v>92.26</v>
      </c>
      <c r="AE66" s="1285">
        <v>93.86</v>
      </c>
      <c r="AF66" s="1301">
        <v>95.45</v>
      </c>
      <c r="AG66" s="1288">
        <v>97.04</v>
      </c>
      <c r="AH66" s="1288">
        <v>98.64</v>
      </c>
      <c r="AI66" s="1288">
        <v>100.23</v>
      </c>
      <c r="AJ66" s="1288">
        <v>101.82</v>
      </c>
      <c r="AK66" s="1288">
        <v>103.42</v>
      </c>
      <c r="AL66" s="1288">
        <v>105.01</v>
      </c>
      <c r="AM66" s="1289">
        <v>106.6</v>
      </c>
      <c r="AN66" s="1289">
        <v>108.2</v>
      </c>
      <c r="AO66" s="1289">
        <v>109.79</v>
      </c>
      <c r="AP66" s="1289">
        <v>111.38</v>
      </c>
      <c r="AQ66" s="1289">
        <v>82.7</v>
      </c>
      <c r="AR66" s="1289">
        <v>81.11</v>
      </c>
      <c r="AS66" s="1289">
        <v>63.63</v>
      </c>
      <c r="AT66" s="1289">
        <v>62.04</v>
      </c>
      <c r="AU66" s="1289">
        <v>60.44</v>
      </c>
    </row>
    <row r="67" spans="1:47">
      <c r="A67" s="1296">
        <v>140.04</v>
      </c>
      <c r="B67" s="1297">
        <v>142.33000000000001</v>
      </c>
      <c r="C67" s="1298">
        <v>144.62</v>
      </c>
      <c r="D67" s="1299">
        <v>146.91999999999999</v>
      </c>
      <c r="E67" s="1300">
        <v>149.21</v>
      </c>
      <c r="F67" s="1300">
        <v>151.5</v>
      </c>
      <c r="G67" s="1300">
        <v>153.80000000000001</v>
      </c>
      <c r="H67" s="1301">
        <v>156.09</v>
      </c>
      <c r="I67" s="1288">
        <v>158.38</v>
      </c>
      <c r="J67" s="1288">
        <v>160.68</v>
      </c>
      <c r="K67" s="1288">
        <v>162.97</v>
      </c>
      <c r="L67" s="1288">
        <v>165.26</v>
      </c>
      <c r="M67" s="1288">
        <v>167.56</v>
      </c>
      <c r="N67" s="1288">
        <v>169.85</v>
      </c>
      <c r="O67" s="1289">
        <v>172.14</v>
      </c>
      <c r="P67" s="1289">
        <v>174.44</v>
      </c>
      <c r="Q67" s="1289">
        <v>176.73</v>
      </c>
      <c r="R67" s="1289">
        <v>179.02</v>
      </c>
      <c r="S67" s="1289">
        <v>137.75</v>
      </c>
      <c r="T67" s="1289">
        <v>135.44999999999999</v>
      </c>
      <c r="U67" s="1289">
        <v>100.92</v>
      </c>
      <c r="V67" s="1289">
        <v>98.63</v>
      </c>
      <c r="W67" s="1289">
        <v>96.34</v>
      </c>
      <c r="X67" s="62">
        <v>63</v>
      </c>
      <c r="Y67" s="1296">
        <v>85.65</v>
      </c>
      <c r="Z67" s="1297">
        <v>87.27</v>
      </c>
      <c r="AA67" s="1302">
        <v>88.8</v>
      </c>
      <c r="AB67" s="1299">
        <v>90.5</v>
      </c>
      <c r="AC67" s="1300">
        <v>92.12</v>
      </c>
      <c r="AD67" s="1300">
        <v>93.74</v>
      </c>
      <c r="AE67" s="1285">
        <v>95.36</v>
      </c>
      <c r="AF67" s="1301">
        <v>96.98</v>
      </c>
      <c r="AG67" s="1288">
        <v>98.6</v>
      </c>
      <c r="AH67" s="1288">
        <v>100.22</v>
      </c>
      <c r="AI67" s="1288">
        <v>101.84</v>
      </c>
      <c r="AJ67" s="1288">
        <v>103.46</v>
      </c>
      <c r="AK67" s="1288">
        <v>105.08</v>
      </c>
      <c r="AL67" s="1288">
        <v>106.69</v>
      </c>
      <c r="AM67" s="1289">
        <v>108.31</v>
      </c>
      <c r="AN67" s="1289">
        <v>109.93</v>
      </c>
      <c r="AO67" s="1289">
        <v>111.55</v>
      </c>
      <c r="AP67" s="1289">
        <v>113.17</v>
      </c>
      <c r="AQ67" s="1289">
        <v>84.03</v>
      </c>
      <c r="AR67" s="1289">
        <v>82.41</v>
      </c>
      <c r="AS67" s="1289">
        <v>64.650000000000006</v>
      </c>
      <c r="AT67" s="1289">
        <v>63.03</v>
      </c>
      <c r="AU67" s="1289">
        <v>61.41</v>
      </c>
    </row>
    <row r="68" spans="1:47">
      <c r="A68" s="1296">
        <v>142.22</v>
      </c>
      <c r="B68" s="1297">
        <v>144.55000000000001</v>
      </c>
      <c r="C68" s="1298">
        <v>146.88</v>
      </c>
      <c r="D68" s="1299">
        <v>149.21</v>
      </c>
      <c r="E68" s="1300">
        <v>151.54</v>
      </c>
      <c r="F68" s="1300">
        <v>153.87</v>
      </c>
      <c r="G68" s="1300">
        <v>156.19999999999999</v>
      </c>
      <c r="H68" s="1301">
        <v>158.53</v>
      </c>
      <c r="I68" s="1288">
        <v>160.86000000000001</v>
      </c>
      <c r="J68" s="1288">
        <v>163.19</v>
      </c>
      <c r="K68" s="1288">
        <v>165.52</v>
      </c>
      <c r="L68" s="1288">
        <v>167.85</v>
      </c>
      <c r="M68" s="1288">
        <v>170.18</v>
      </c>
      <c r="N68" s="1288">
        <v>172.51</v>
      </c>
      <c r="O68" s="1289">
        <v>174.84</v>
      </c>
      <c r="P68" s="1289">
        <v>177.17</v>
      </c>
      <c r="Q68" s="1289">
        <v>179.5</v>
      </c>
      <c r="R68" s="1289">
        <v>181.83</v>
      </c>
      <c r="S68" s="1289">
        <v>139.88999999999999</v>
      </c>
      <c r="T68" s="1289">
        <v>137.56</v>
      </c>
      <c r="U68" s="1289">
        <v>102.51</v>
      </c>
      <c r="V68" s="1289">
        <v>100.18</v>
      </c>
      <c r="W68" s="1289">
        <v>97.85</v>
      </c>
      <c r="X68" s="62">
        <v>64</v>
      </c>
      <c r="Y68" s="1296">
        <v>87</v>
      </c>
      <c r="Z68" s="1297">
        <v>88.65</v>
      </c>
      <c r="AA68" s="1302">
        <v>90.29</v>
      </c>
      <c r="AB68" s="1299">
        <v>91.94</v>
      </c>
      <c r="AC68" s="1300">
        <v>93.58</v>
      </c>
      <c r="AD68" s="1300">
        <v>95.22</v>
      </c>
      <c r="AE68" s="1285">
        <v>96.87</v>
      </c>
      <c r="AF68" s="1301">
        <v>98.51</v>
      </c>
      <c r="AG68" s="1288">
        <v>100.16</v>
      </c>
      <c r="AH68" s="1288">
        <v>101.8</v>
      </c>
      <c r="AI68" s="1288">
        <v>103.45</v>
      </c>
      <c r="AJ68" s="1288">
        <v>105.09</v>
      </c>
      <c r="AK68" s="1288">
        <v>106.74</v>
      </c>
      <c r="AL68" s="1288">
        <v>108.38</v>
      </c>
      <c r="AM68" s="1289">
        <v>110.03</v>
      </c>
      <c r="AN68" s="1289">
        <v>111.67</v>
      </c>
      <c r="AO68" s="1289">
        <v>113.32</v>
      </c>
      <c r="AP68" s="1289">
        <v>114.96</v>
      </c>
      <c r="AQ68" s="1289">
        <v>85.36</v>
      </c>
      <c r="AR68" s="1289">
        <v>83.71</v>
      </c>
      <c r="AS68" s="1289">
        <v>65.680000000000007</v>
      </c>
      <c r="AT68" s="1289">
        <v>64.03</v>
      </c>
      <c r="AU68" s="1289">
        <v>62.39</v>
      </c>
    </row>
    <row r="69" spans="1:47">
      <c r="A69" s="1296">
        <v>144.41999999999999</v>
      </c>
      <c r="B69" s="1297">
        <v>146.79</v>
      </c>
      <c r="C69" s="1298">
        <v>149.15</v>
      </c>
      <c r="D69" s="1299">
        <v>151.52000000000001</v>
      </c>
      <c r="E69" s="1300">
        <v>153.88900000000001</v>
      </c>
      <c r="F69" s="1300">
        <v>156.25</v>
      </c>
      <c r="G69" s="1300">
        <v>158.62</v>
      </c>
      <c r="H69" s="1301">
        <v>160.97999999999999</v>
      </c>
      <c r="I69" s="1288">
        <v>163.35</v>
      </c>
      <c r="J69" s="1288">
        <v>165.72</v>
      </c>
      <c r="K69" s="1288">
        <v>168.08</v>
      </c>
      <c r="L69" s="1288">
        <v>170.45</v>
      </c>
      <c r="M69" s="1288">
        <v>172.81</v>
      </c>
      <c r="N69" s="1288">
        <v>175.18</v>
      </c>
      <c r="O69" s="1289">
        <v>177.55</v>
      </c>
      <c r="P69" s="1289">
        <v>179.91</v>
      </c>
      <c r="Q69" s="1289">
        <v>182.28</v>
      </c>
      <c r="R69" s="1289">
        <v>184.64</v>
      </c>
      <c r="S69" s="1289">
        <v>142.06</v>
      </c>
      <c r="T69" s="1289">
        <v>139.69</v>
      </c>
      <c r="U69" s="1289">
        <v>104.09</v>
      </c>
      <c r="V69" s="1289">
        <v>101.73</v>
      </c>
      <c r="W69" s="1289">
        <v>99.36</v>
      </c>
      <c r="X69" s="62">
        <v>65</v>
      </c>
      <c r="Y69" s="1296">
        <v>88.34</v>
      </c>
      <c r="Z69" s="1297">
        <v>90.01</v>
      </c>
      <c r="AA69" s="1302">
        <v>91.68</v>
      </c>
      <c r="AB69" s="1299">
        <v>93.35</v>
      </c>
      <c r="AC69" s="1300">
        <v>95.02</v>
      </c>
      <c r="AD69" s="1300">
        <v>96.69</v>
      </c>
      <c r="AE69" s="1285">
        <v>98.36</v>
      </c>
      <c r="AF69" s="1301">
        <v>100.03</v>
      </c>
      <c r="AG69" s="1288">
        <v>101.7</v>
      </c>
      <c r="AH69" s="1288">
        <v>103.37</v>
      </c>
      <c r="AI69" s="1288">
        <v>105.04</v>
      </c>
      <c r="AJ69" s="1288">
        <v>106.71</v>
      </c>
      <c r="AK69" s="1288">
        <v>108.38</v>
      </c>
      <c r="AL69" s="1288">
        <v>110.05</v>
      </c>
      <c r="AM69" s="1289">
        <v>111.72</v>
      </c>
      <c r="AN69" s="1289">
        <v>113.4</v>
      </c>
      <c r="AO69" s="1289">
        <v>115.07</v>
      </c>
      <c r="AP69" s="1289">
        <v>116.74</v>
      </c>
      <c r="AQ69" s="1289">
        <v>86.67</v>
      </c>
      <c r="AR69" s="1289">
        <v>85</v>
      </c>
      <c r="AS69" s="1289">
        <v>66.69</v>
      </c>
      <c r="AT69" s="1289">
        <v>65.02</v>
      </c>
      <c r="AU69" s="1289">
        <v>63.35</v>
      </c>
    </row>
    <row r="70" spans="1:47">
      <c r="A70" s="1296">
        <v>146.63</v>
      </c>
      <c r="B70" s="1297">
        <v>149.04</v>
      </c>
      <c r="C70" s="1298">
        <v>151.44</v>
      </c>
      <c r="D70" s="1299">
        <v>153.84</v>
      </c>
      <c r="E70" s="1300">
        <v>156.24</v>
      </c>
      <c r="F70" s="1300">
        <v>158.65</v>
      </c>
      <c r="G70" s="1300">
        <v>161.05000000000001</v>
      </c>
      <c r="H70" s="1301">
        <v>163.44999999999999</v>
      </c>
      <c r="I70" s="1288">
        <v>165.85</v>
      </c>
      <c r="J70" s="1288">
        <v>168.26</v>
      </c>
      <c r="K70" s="1288">
        <v>170.66</v>
      </c>
      <c r="L70" s="1288">
        <v>173.06</v>
      </c>
      <c r="M70" s="1288">
        <v>175.46</v>
      </c>
      <c r="N70" s="1288">
        <v>177.87</v>
      </c>
      <c r="O70" s="1289">
        <v>180.27</v>
      </c>
      <c r="P70" s="1289">
        <v>182.67</v>
      </c>
      <c r="Q70" s="1289">
        <v>185.07</v>
      </c>
      <c r="R70" s="1289">
        <v>187.47</v>
      </c>
      <c r="S70" s="1289">
        <v>144.22999999999999</v>
      </c>
      <c r="T70" s="1289">
        <v>141.83000000000001</v>
      </c>
      <c r="U70" s="1289">
        <v>105.69</v>
      </c>
      <c r="V70" s="1289">
        <v>103.29</v>
      </c>
      <c r="W70" s="1289">
        <v>100.88</v>
      </c>
      <c r="X70" s="62">
        <v>66</v>
      </c>
      <c r="Y70" s="1296">
        <v>89.7</v>
      </c>
      <c r="Z70" s="1297">
        <v>91.4</v>
      </c>
      <c r="AA70" s="1302">
        <v>93.09</v>
      </c>
      <c r="AB70" s="1299">
        <v>94.79</v>
      </c>
      <c r="AC70" s="1300">
        <v>96.48</v>
      </c>
      <c r="AD70" s="1300">
        <v>98.18</v>
      </c>
      <c r="AE70" s="1285">
        <v>99.88</v>
      </c>
      <c r="AF70" s="1301">
        <v>101.57</v>
      </c>
      <c r="AG70" s="1288">
        <v>103.27</v>
      </c>
      <c r="AH70" s="1288">
        <v>104.96</v>
      </c>
      <c r="AI70" s="1288">
        <v>106.66</v>
      </c>
      <c r="AJ70" s="1288">
        <v>108.36</v>
      </c>
      <c r="AK70" s="1288">
        <v>110.05</v>
      </c>
      <c r="AL70" s="1288">
        <v>111.75</v>
      </c>
      <c r="AM70" s="1289">
        <v>113.45</v>
      </c>
      <c r="AN70" s="1289">
        <v>115.14</v>
      </c>
      <c r="AO70" s="1289">
        <v>116.84</v>
      </c>
      <c r="AP70" s="1289">
        <v>118.53</v>
      </c>
      <c r="AQ70" s="1289">
        <v>88</v>
      </c>
      <c r="AR70" s="1289">
        <v>86.31</v>
      </c>
      <c r="AS70" s="1289">
        <v>67.709999999999994</v>
      </c>
      <c r="AT70" s="1289">
        <v>66.02</v>
      </c>
      <c r="AU70" s="1289">
        <v>64.319999999999993</v>
      </c>
    </row>
    <row r="71" spans="1:47">
      <c r="A71" s="1296">
        <v>148.86000000000001</v>
      </c>
      <c r="B71" s="1297">
        <v>151.30000000000001</v>
      </c>
      <c r="C71" s="1298">
        <v>153.74</v>
      </c>
      <c r="D71" s="1299">
        <v>156.18</v>
      </c>
      <c r="E71" s="1300">
        <v>158.61000000000001</v>
      </c>
      <c r="F71" s="1300">
        <v>161.05000000000001</v>
      </c>
      <c r="G71" s="1300">
        <v>163.49</v>
      </c>
      <c r="H71" s="1301">
        <v>165.93</v>
      </c>
      <c r="I71" s="1288">
        <v>168.37</v>
      </c>
      <c r="J71" s="1288">
        <v>170.81</v>
      </c>
      <c r="K71" s="1288">
        <v>173.25</v>
      </c>
      <c r="L71" s="1288">
        <v>175.69</v>
      </c>
      <c r="M71" s="1288">
        <v>178.12</v>
      </c>
      <c r="N71" s="1288">
        <v>180.56</v>
      </c>
      <c r="O71" s="1289">
        <v>183</v>
      </c>
      <c r="P71" s="1289">
        <v>185.44</v>
      </c>
      <c r="Q71" s="1289">
        <v>187.88</v>
      </c>
      <c r="R71" s="1289">
        <v>190.32</v>
      </c>
      <c r="S71" s="1289">
        <v>146.41999999999999</v>
      </c>
      <c r="T71" s="1289">
        <v>143.97999999999999</v>
      </c>
      <c r="U71" s="1289">
        <v>107.29</v>
      </c>
      <c r="V71" s="1289">
        <v>104.85</v>
      </c>
      <c r="W71" s="1289">
        <v>102.41</v>
      </c>
      <c r="X71" s="62">
        <v>67</v>
      </c>
      <c r="Y71" s="1296">
        <v>91.04</v>
      </c>
      <c r="Z71" s="1297">
        <v>92.76</v>
      </c>
      <c r="AA71" s="1302">
        <v>94.49</v>
      </c>
      <c r="AB71" s="1299">
        <v>96.21</v>
      </c>
      <c r="AC71" s="1300">
        <v>97.93</v>
      </c>
      <c r="AD71" s="1300">
        <v>99.68</v>
      </c>
      <c r="AE71" s="1285">
        <v>101.37</v>
      </c>
      <c r="AF71" s="1301">
        <v>103.1</v>
      </c>
      <c r="AG71" s="1288">
        <v>104.82</v>
      </c>
      <c r="AH71" s="1288">
        <v>106.54</v>
      </c>
      <c r="AI71" s="1288">
        <v>108.26</v>
      </c>
      <c r="AJ71" s="1288">
        <v>109.98</v>
      </c>
      <c r="AK71" s="1288">
        <v>111.7</v>
      </c>
      <c r="AL71" s="1288">
        <v>113.43</v>
      </c>
      <c r="AM71" s="1289">
        <v>115.15</v>
      </c>
      <c r="AN71" s="1289">
        <v>116.87</v>
      </c>
      <c r="AO71" s="1289">
        <v>118.59</v>
      </c>
      <c r="AP71" s="1289">
        <v>120.31</v>
      </c>
      <c r="AQ71" s="1289">
        <v>89.32</v>
      </c>
      <c r="AR71" s="1289">
        <v>87.6</v>
      </c>
      <c r="AS71" s="1289">
        <v>68.73</v>
      </c>
      <c r="AT71" s="1289">
        <v>67.010000000000005</v>
      </c>
      <c r="AU71" s="1289">
        <v>35.29</v>
      </c>
    </row>
    <row r="72" spans="1:47">
      <c r="A72" s="1296">
        <v>151.02000000000001</v>
      </c>
      <c r="B72" s="1297">
        <v>153.49</v>
      </c>
      <c r="C72" s="1298">
        <v>155.97</v>
      </c>
      <c r="D72" s="1299">
        <v>158.44</v>
      </c>
      <c r="E72" s="1300">
        <v>160.91999999999999</v>
      </c>
      <c r="F72" s="1300">
        <v>163.38999999999999</v>
      </c>
      <c r="G72" s="1300">
        <v>165.87</v>
      </c>
      <c r="H72" s="1301">
        <v>168.34</v>
      </c>
      <c r="I72" s="1288">
        <v>170.82</v>
      </c>
      <c r="J72" s="1288">
        <v>173.29</v>
      </c>
      <c r="K72" s="1288">
        <v>175.77</v>
      </c>
      <c r="L72" s="1288">
        <v>178.25</v>
      </c>
      <c r="M72" s="1288">
        <v>180.72</v>
      </c>
      <c r="N72" s="1288">
        <v>183.2</v>
      </c>
      <c r="O72" s="1289">
        <v>185.67</v>
      </c>
      <c r="P72" s="1289">
        <v>188.15</v>
      </c>
      <c r="Q72" s="1289">
        <v>190.62</v>
      </c>
      <c r="R72" s="1289">
        <v>193.1</v>
      </c>
      <c r="S72" s="1289">
        <v>148.54</v>
      </c>
      <c r="T72" s="1289">
        <v>146.07</v>
      </c>
      <c r="U72" s="1289">
        <v>108.86</v>
      </c>
      <c r="V72" s="1289">
        <v>106.38</v>
      </c>
      <c r="W72" s="1289">
        <v>103.91</v>
      </c>
      <c r="X72" s="62">
        <v>68</v>
      </c>
      <c r="Y72" s="1296">
        <v>92.39</v>
      </c>
      <c r="Z72" s="1297">
        <v>94.14</v>
      </c>
      <c r="AA72" s="1302">
        <v>95.88</v>
      </c>
      <c r="AB72" s="1299">
        <v>97.63</v>
      </c>
      <c r="AC72" s="1300">
        <v>99.38</v>
      </c>
      <c r="AD72" s="1300">
        <v>101.13</v>
      </c>
      <c r="AE72" s="1285">
        <v>102.87</v>
      </c>
      <c r="AF72" s="1301">
        <v>104.62</v>
      </c>
      <c r="AG72" s="1288">
        <v>106.37</v>
      </c>
      <c r="AH72" s="1288">
        <v>108.12</v>
      </c>
      <c r="AI72" s="1288">
        <v>109.86</v>
      </c>
      <c r="AJ72" s="1288">
        <v>111.61</v>
      </c>
      <c r="AK72" s="1288">
        <v>113.36</v>
      </c>
      <c r="AL72" s="1288">
        <v>115.11</v>
      </c>
      <c r="AM72" s="1289">
        <v>116.85</v>
      </c>
      <c r="AN72" s="1289">
        <v>118.6</v>
      </c>
      <c r="AO72" s="1289">
        <v>120.35</v>
      </c>
      <c r="AP72" s="1289">
        <v>122.1</v>
      </c>
      <c r="AQ72" s="1289">
        <v>90.64</v>
      </c>
      <c r="AR72" s="1289">
        <v>88.89</v>
      </c>
      <c r="AS72" s="1289">
        <v>69.75</v>
      </c>
      <c r="AT72" s="1289">
        <v>68</v>
      </c>
      <c r="AU72" s="1289">
        <v>66.25</v>
      </c>
    </row>
    <row r="73" spans="1:47">
      <c r="A73" s="1296">
        <v>153.27000000000001</v>
      </c>
      <c r="B73" s="1297">
        <v>155.78</v>
      </c>
      <c r="C73" s="1298">
        <v>158.29</v>
      </c>
      <c r="D73" s="1299">
        <v>160.81</v>
      </c>
      <c r="E73" s="1300">
        <v>163.32</v>
      </c>
      <c r="F73" s="1300">
        <v>165.83</v>
      </c>
      <c r="G73" s="1300">
        <v>168.34</v>
      </c>
      <c r="H73" s="1301">
        <v>170.85</v>
      </c>
      <c r="I73" s="1288">
        <v>173.36</v>
      </c>
      <c r="J73" s="1288">
        <v>175.87</v>
      </c>
      <c r="K73" s="1288">
        <v>178.39</v>
      </c>
      <c r="L73" s="1288">
        <v>180.9</v>
      </c>
      <c r="M73" s="1288">
        <v>183.41</v>
      </c>
      <c r="N73" s="1288">
        <v>185.92</v>
      </c>
      <c r="O73" s="1289">
        <v>188.43</v>
      </c>
      <c r="P73" s="1289">
        <v>190.94</v>
      </c>
      <c r="Q73" s="1289">
        <v>193.46</v>
      </c>
      <c r="R73" s="1289">
        <v>195.97</v>
      </c>
      <c r="S73" s="1289">
        <v>150.76</v>
      </c>
      <c r="T73" s="1289">
        <v>148.25</v>
      </c>
      <c r="U73" s="1289">
        <v>110.48</v>
      </c>
      <c r="V73" s="1289">
        <v>107.96</v>
      </c>
      <c r="W73" s="1289">
        <v>105.45</v>
      </c>
      <c r="X73" s="62">
        <v>69</v>
      </c>
      <c r="Y73" s="1296">
        <v>93.74</v>
      </c>
      <c r="Z73" s="1297">
        <v>95.51</v>
      </c>
      <c r="AA73" s="1302">
        <v>97.28</v>
      </c>
      <c r="AB73" s="1299">
        <v>99.06</v>
      </c>
      <c r="AC73" s="1300">
        <v>10.83</v>
      </c>
      <c r="AD73" s="1300">
        <v>102.6</v>
      </c>
      <c r="AE73" s="1285">
        <v>104.38</v>
      </c>
      <c r="AF73" s="1301">
        <v>106.15</v>
      </c>
      <c r="AG73" s="1288">
        <v>107.92</v>
      </c>
      <c r="AH73" s="1288">
        <v>109.7</v>
      </c>
      <c r="AI73" s="1288">
        <v>111.47</v>
      </c>
      <c r="AJ73" s="1288">
        <v>113.24</v>
      </c>
      <c r="AK73" s="1288">
        <v>115.02</v>
      </c>
      <c r="AL73" s="1288">
        <v>116.79</v>
      </c>
      <c r="AM73" s="1289">
        <v>118.56</v>
      </c>
      <c r="AN73" s="1289">
        <v>120.34</v>
      </c>
      <c r="AO73" s="1289">
        <v>122.11</v>
      </c>
      <c r="AP73" s="1289">
        <v>123.88</v>
      </c>
      <c r="AQ73" s="1289">
        <v>91.96</v>
      </c>
      <c r="AR73" s="1289">
        <v>90.19</v>
      </c>
      <c r="AS73" s="1289">
        <v>70.77</v>
      </c>
      <c r="AT73" s="1289">
        <v>69</v>
      </c>
      <c r="AU73" s="1289">
        <v>67.22</v>
      </c>
    </row>
    <row r="74" spans="1:47">
      <c r="A74" s="1296">
        <v>155.44999999999999</v>
      </c>
      <c r="B74" s="1297">
        <v>158</v>
      </c>
      <c r="C74" s="1298">
        <v>160.55000000000001</v>
      </c>
      <c r="D74" s="1299">
        <v>163.1</v>
      </c>
      <c r="E74" s="1300">
        <v>165.64</v>
      </c>
      <c r="F74" s="1300">
        <v>168.19</v>
      </c>
      <c r="G74" s="1300">
        <v>170.74</v>
      </c>
      <c r="H74" s="1301">
        <v>173.29</v>
      </c>
      <c r="I74" s="1288">
        <v>175.84</v>
      </c>
      <c r="J74" s="1288">
        <v>178.38</v>
      </c>
      <c r="K74" s="1288">
        <v>180.93</v>
      </c>
      <c r="L74" s="1288">
        <v>183.48</v>
      </c>
      <c r="M74" s="1288">
        <v>186.03</v>
      </c>
      <c r="N74" s="1288">
        <v>188.58</v>
      </c>
      <c r="O74" s="1289">
        <v>191.12</v>
      </c>
      <c r="P74" s="1289">
        <v>193.67</v>
      </c>
      <c r="Q74" s="1289">
        <v>196.22</v>
      </c>
      <c r="R74" s="1289">
        <v>198.77</v>
      </c>
      <c r="S74" s="1289">
        <v>152.9</v>
      </c>
      <c r="T74" s="1289">
        <v>150.36000000000001</v>
      </c>
      <c r="U74" s="1289">
        <v>112.05</v>
      </c>
      <c r="V74" s="1289">
        <v>109.51</v>
      </c>
      <c r="W74" s="1289">
        <v>106.96</v>
      </c>
      <c r="X74" s="62">
        <v>70</v>
      </c>
      <c r="Y74" s="1296">
        <v>95.09</v>
      </c>
      <c r="Z74" s="1297">
        <v>96.89</v>
      </c>
      <c r="AA74" s="1302">
        <v>98.69</v>
      </c>
      <c r="AB74" s="1299">
        <v>100.49</v>
      </c>
      <c r="AC74" s="1300">
        <v>102.29</v>
      </c>
      <c r="AD74" s="1300">
        <v>104.08</v>
      </c>
      <c r="AE74" s="1285">
        <v>105.88</v>
      </c>
      <c r="AF74" s="1301">
        <v>107.68</v>
      </c>
      <c r="AG74" s="1288">
        <v>109.48</v>
      </c>
      <c r="AH74" s="1288">
        <v>111.28</v>
      </c>
      <c r="AI74" s="1288">
        <v>113.08</v>
      </c>
      <c r="AJ74" s="1288">
        <v>114.88</v>
      </c>
      <c r="AK74" s="1288">
        <v>116.68</v>
      </c>
      <c r="AL74" s="1288">
        <v>118.48</v>
      </c>
      <c r="AM74" s="1289">
        <v>120.28</v>
      </c>
      <c r="AN74" s="1289">
        <v>122.07</v>
      </c>
      <c r="AO74" s="1289">
        <v>123.87</v>
      </c>
      <c r="AP74" s="1289">
        <v>125.67</v>
      </c>
      <c r="AQ74" s="1289">
        <v>93.29</v>
      </c>
      <c r="AR74" s="1289">
        <v>91.49</v>
      </c>
      <c r="AS74" s="1289">
        <v>71.790000000000006</v>
      </c>
      <c r="AT74" s="1289">
        <v>69.989999999999995</v>
      </c>
      <c r="AU74" s="1289">
        <v>68.19</v>
      </c>
    </row>
    <row r="75" spans="1:47">
      <c r="A75" s="1296">
        <v>157.65</v>
      </c>
      <c r="B75" s="1297">
        <v>160.22999999999999</v>
      </c>
      <c r="C75" s="1298">
        <v>162.82</v>
      </c>
      <c r="D75" s="1299">
        <v>165.4</v>
      </c>
      <c r="E75" s="1300">
        <v>167.98</v>
      </c>
      <c r="F75" s="1300">
        <v>170.57</v>
      </c>
      <c r="G75" s="1300">
        <v>173.15</v>
      </c>
      <c r="H75" s="1301">
        <v>175.74</v>
      </c>
      <c r="I75" s="1288">
        <v>178.32</v>
      </c>
      <c r="J75" s="1288">
        <v>180.91</v>
      </c>
      <c r="K75" s="1288">
        <v>183.49</v>
      </c>
      <c r="L75" s="1288">
        <v>186.07</v>
      </c>
      <c r="M75" s="1288">
        <v>188.66</v>
      </c>
      <c r="N75" s="1288">
        <v>191.24</v>
      </c>
      <c r="O75" s="1289">
        <v>193.83</v>
      </c>
      <c r="P75" s="1289">
        <v>196.41</v>
      </c>
      <c r="Q75" s="1289">
        <v>199</v>
      </c>
      <c r="R75" s="1289">
        <v>201.58</v>
      </c>
      <c r="S75" s="1289">
        <v>155.06</v>
      </c>
      <c r="T75" s="1289">
        <v>152.47999999999999</v>
      </c>
      <c r="U75" s="1289">
        <v>113.64</v>
      </c>
      <c r="V75" s="1289">
        <v>111.05</v>
      </c>
      <c r="W75" s="1289">
        <v>108.47</v>
      </c>
      <c r="X75" s="62">
        <v>71</v>
      </c>
      <c r="Y75" s="1296">
        <v>96.44</v>
      </c>
      <c r="Z75" s="1297">
        <v>98.27</v>
      </c>
      <c r="AA75" s="1298">
        <v>100.09</v>
      </c>
      <c r="AB75" s="1299">
        <v>101.92</v>
      </c>
      <c r="AC75" s="1300">
        <v>103.74</v>
      </c>
      <c r="AD75" s="1300">
        <v>105.57</v>
      </c>
      <c r="AE75" s="1285">
        <v>107.39</v>
      </c>
      <c r="AF75" s="1301">
        <v>109.22</v>
      </c>
      <c r="AG75" s="1288">
        <v>111.04</v>
      </c>
      <c r="AH75" s="1288">
        <v>112.87</v>
      </c>
      <c r="AI75" s="1288">
        <v>114.69</v>
      </c>
      <c r="AJ75" s="1288">
        <v>116.52</v>
      </c>
      <c r="AK75" s="1288">
        <v>118.34</v>
      </c>
      <c r="AL75" s="1288">
        <v>120.17</v>
      </c>
      <c r="AM75" s="1289">
        <v>121.99</v>
      </c>
      <c r="AN75" s="1289">
        <v>123.82</v>
      </c>
      <c r="AO75" s="1289">
        <v>125.64</v>
      </c>
      <c r="AP75" s="1289">
        <v>127.46</v>
      </c>
      <c r="AQ75" s="1289">
        <v>94.62</v>
      </c>
      <c r="AR75" s="1289">
        <v>92.8</v>
      </c>
      <c r="AS75" s="1289">
        <v>72.81</v>
      </c>
      <c r="AT75" s="1289">
        <v>70.989999999999995</v>
      </c>
      <c r="AU75" s="1289">
        <v>69.16</v>
      </c>
    </row>
    <row r="76" spans="1:47">
      <c r="A76" s="1296">
        <v>159.85</v>
      </c>
      <c r="B76" s="1297">
        <v>152.47</v>
      </c>
      <c r="C76" s="1298">
        <v>165.09</v>
      </c>
      <c r="D76" s="1299">
        <v>167.71</v>
      </c>
      <c r="E76" s="1300">
        <v>170.33</v>
      </c>
      <c r="F76" s="1300">
        <v>172.96</v>
      </c>
      <c r="G76" s="1300">
        <v>175.58</v>
      </c>
      <c r="H76" s="1301">
        <v>178.2</v>
      </c>
      <c r="I76" s="1288">
        <v>180.82</v>
      </c>
      <c r="J76" s="1288">
        <v>183.44</v>
      </c>
      <c r="K76" s="1288">
        <v>186.06</v>
      </c>
      <c r="L76" s="1288">
        <v>188.68</v>
      </c>
      <c r="M76" s="1288">
        <v>191.3</v>
      </c>
      <c r="N76" s="1288">
        <v>193.92</v>
      </c>
      <c r="O76" s="1289">
        <v>196.54</v>
      </c>
      <c r="P76" s="1289">
        <v>199.16</v>
      </c>
      <c r="Q76" s="1289">
        <v>201.78</v>
      </c>
      <c r="R76" s="1289">
        <v>204.41</v>
      </c>
      <c r="S76" s="1289">
        <v>157.22999999999999</v>
      </c>
      <c r="T76" s="1289">
        <v>154.61000000000001</v>
      </c>
      <c r="U76" s="1289">
        <v>115.23</v>
      </c>
      <c r="V76" s="1289">
        <v>112.61</v>
      </c>
      <c r="W76" s="1289">
        <v>109.99</v>
      </c>
      <c r="X76" s="62">
        <v>72</v>
      </c>
      <c r="Y76" s="1296">
        <v>97.8</v>
      </c>
      <c r="Z76" s="1297">
        <v>99.65</v>
      </c>
      <c r="AA76" s="1302">
        <v>101.5</v>
      </c>
      <c r="AB76" s="1299">
        <v>103.35</v>
      </c>
      <c r="AC76" s="1300">
        <v>105.21</v>
      </c>
      <c r="AD76" s="1300">
        <v>107.06</v>
      </c>
      <c r="AE76" s="1285">
        <v>108.91</v>
      </c>
      <c r="AF76" s="1301">
        <v>110.76</v>
      </c>
      <c r="AG76" s="1288">
        <v>112.61</v>
      </c>
      <c r="AH76" s="1288">
        <v>114.46</v>
      </c>
      <c r="AI76" s="1288">
        <v>116.31</v>
      </c>
      <c r="AJ76" s="1288">
        <v>118.16</v>
      </c>
      <c r="AK76" s="1288">
        <v>120.01</v>
      </c>
      <c r="AL76" s="1288">
        <v>121.86</v>
      </c>
      <c r="AM76" s="1289">
        <v>123.71</v>
      </c>
      <c r="AN76" s="1289">
        <v>125.56</v>
      </c>
      <c r="AO76" s="1289">
        <v>127.41</v>
      </c>
      <c r="AP76" s="1289">
        <v>129.26</v>
      </c>
      <c r="AQ76" s="1289">
        <v>95.95</v>
      </c>
      <c r="AR76" s="1289">
        <v>94.1</v>
      </c>
      <c r="AS76" s="1289">
        <v>73.84</v>
      </c>
      <c r="AT76" s="1289">
        <v>71.989999999999995</v>
      </c>
      <c r="AU76" s="1289">
        <v>70.14</v>
      </c>
    </row>
    <row r="77" spans="1:47">
      <c r="A77" s="1296">
        <v>162.07</v>
      </c>
      <c r="B77" s="1297">
        <v>164.73</v>
      </c>
      <c r="C77" s="1298">
        <v>167.38</v>
      </c>
      <c r="D77" s="1299">
        <v>170.04</v>
      </c>
      <c r="E77" s="1300">
        <v>172.7</v>
      </c>
      <c r="F77" s="1300">
        <v>175.36</v>
      </c>
      <c r="G77" s="1300">
        <v>178.01</v>
      </c>
      <c r="H77" s="1301">
        <v>180.67</v>
      </c>
      <c r="I77" s="1288">
        <v>183.33</v>
      </c>
      <c r="J77" s="1288">
        <v>185.98</v>
      </c>
      <c r="K77" s="1288">
        <v>188.64</v>
      </c>
      <c r="L77" s="1288">
        <v>191.3</v>
      </c>
      <c r="M77" s="1288">
        <v>193.96</v>
      </c>
      <c r="N77" s="1288">
        <v>196.61</v>
      </c>
      <c r="O77" s="1289">
        <v>199.27</v>
      </c>
      <c r="P77" s="1289">
        <v>201.93</v>
      </c>
      <c r="Q77" s="1289">
        <v>204.58</v>
      </c>
      <c r="R77" s="1289">
        <v>207.24</v>
      </c>
      <c r="S77" s="1289">
        <v>159.41</v>
      </c>
      <c r="T77" s="1289">
        <v>1156.75</v>
      </c>
      <c r="U77" s="1289">
        <v>116.83</v>
      </c>
      <c r="V77" s="1289">
        <v>114.17</v>
      </c>
      <c r="W77" s="1289">
        <v>111.52</v>
      </c>
      <c r="X77" s="62">
        <v>73</v>
      </c>
      <c r="Y77" s="1296">
        <v>99.14</v>
      </c>
      <c r="Z77" s="1297">
        <v>101.02</v>
      </c>
      <c r="AA77" s="1298">
        <v>102.89</v>
      </c>
      <c r="AB77" s="1299">
        <v>104.77</v>
      </c>
      <c r="AC77" s="1300">
        <v>106.646</v>
      </c>
      <c r="AD77" s="1300">
        <v>108.52</v>
      </c>
      <c r="AE77" s="1285">
        <v>110.4</v>
      </c>
      <c r="AF77" s="1301">
        <v>112.27</v>
      </c>
      <c r="AG77" s="1288">
        <v>114.15</v>
      </c>
      <c r="AH77" s="1288">
        <v>116.03</v>
      </c>
      <c r="AI77" s="1288">
        <v>117.9</v>
      </c>
      <c r="AJ77" s="1288">
        <v>119.78</v>
      </c>
      <c r="AK77" s="1288">
        <v>121.65</v>
      </c>
      <c r="AL77" s="1288">
        <v>123.53</v>
      </c>
      <c r="AM77" s="1289">
        <v>125.41</v>
      </c>
      <c r="AN77" s="1289">
        <v>127.28</v>
      </c>
      <c r="AO77" s="1289">
        <v>129.16</v>
      </c>
      <c r="AP77" s="1289">
        <v>131.03</v>
      </c>
      <c r="AQ77" s="1289">
        <v>97.26</v>
      </c>
      <c r="AR77" s="1289">
        <v>95.39</v>
      </c>
      <c r="AS77" s="1289">
        <v>74.849999999999994</v>
      </c>
      <c r="AT77" s="1289">
        <v>72.98</v>
      </c>
      <c r="AU77" s="1289">
        <v>71.099999999999994</v>
      </c>
    </row>
    <row r="78" spans="1:47">
      <c r="A78" s="1296">
        <v>164.3</v>
      </c>
      <c r="B78" s="1297">
        <v>166.99</v>
      </c>
      <c r="C78" s="1298">
        <v>169.69</v>
      </c>
      <c r="D78" s="1299">
        <v>172.38</v>
      </c>
      <c r="E78" s="1300">
        <v>175.07</v>
      </c>
      <c r="F78" s="1300">
        <v>177.77</v>
      </c>
      <c r="G78" s="1300">
        <v>180.46</v>
      </c>
      <c r="H78" s="1301">
        <v>183.15</v>
      </c>
      <c r="I78" s="1288">
        <v>185.85</v>
      </c>
      <c r="J78" s="1288">
        <v>188.54</v>
      </c>
      <c r="K78" s="1288">
        <v>191.24</v>
      </c>
      <c r="L78" s="1288">
        <v>193.93</v>
      </c>
      <c r="M78" s="1288">
        <v>196.62</v>
      </c>
      <c r="N78" s="1288">
        <v>199.32</v>
      </c>
      <c r="O78" s="1289">
        <v>202.01</v>
      </c>
      <c r="P78" s="1289">
        <v>204.7</v>
      </c>
      <c r="Q78" s="1289">
        <v>207.4</v>
      </c>
      <c r="R78" s="1289">
        <v>210.09</v>
      </c>
      <c r="S78" s="1289">
        <v>161.61000000000001</v>
      </c>
      <c r="T78" s="1289">
        <v>158.91</v>
      </c>
      <c r="U78" s="1289">
        <v>118.44</v>
      </c>
      <c r="V78" s="1289">
        <v>115.74</v>
      </c>
      <c r="W78" s="1289">
        <v>113.05</v>
      </c>
      <c r="X78" s="62">
        <v>74</v>
      </c>
      <c r="Y78" s="1296">
        <v>100.51</v>
      </c>
      <c r="Z78" s="1297">
        <v>102.41</v>
      </c>
      <c r="AA78" s="1298">
        <v>104.31</v>
      </c>
      <c r="AB78" s="1299">
        <v>106.21</v>
      </c>
      <c r="AC78" s="1300">
        <v>108.11</v>
      </c>
      <c r="AD78" s="1300">
        <v>110.01</v>
      </c>
      <c r="AE78" s="1285">
        <v>111.92</v>
      </c>
      <c r="AF78" s="1301">
        <v>113.82</v>
      </c>
      <c r="AG78" s="1288">
        <v>115.72</v>
      </c>
      <c r="AH78" s="1288">
        <v>117.62</v>
      </c>
      <c r="AI78" s="1288">
        <v>119.52</v>
      </c>
      <c r="AJ78" s="1288">
        <v>121.43</v>
      </c>
      <c r="AK78" s="1288">
        <v>123.33</v>
      </c>
      <c r="AL78" s="1288">
        <v>125.23</v>
      </c>
      <c r="AM78" s="1289">
        <v>127.13</v>
      </c>
      <c r="AN78" s="1289">
        <v>129.03</v>
      </c>
      <c r="AO78" s="1289">
        <v>130.93</v>
      </c>
      <c r="AP78" s="1289">
        <v>132.84</v>
      </c>
      <c r="AQ78" s="1289">
        <v>98.6</v>
      </c>
      <c r="AR78" s="1289">
        <v>96.7</v>
      </c>
      <c r="AS78" s="1289">
        <v>75.88</v>
      </c>
      <c r="AT78" s="1289">
        <v>73.98</v>
      </c>
      <c r="AU78" s="1289">
        <v>72.08</v>
      </c>
    </row>
    <row r="79" spans="1:47">
      <c r="A79" s="1296">
        <v>166.45</v>
      </c>
      <c r="B79" s="1297">
        <v>169.18</v>
      </c>
      <c r="C79" s="1298">
        <v>171.91</v>
      </c>
      <c r="D79" s="1299">
        <v>174.64</v>
      </c>
      <c r="E79" s="1300">
        <v>177.37</v>
      </c>
      <c r="F79" s="1300">
        <v>180.1</v>
      </c>
      <c r="G79" s="1300">
        <v>182.83</v>
      </c>
      <c r="H79" s="1301">
        <v>185.56</v>
      </c>
      <c r="I79" s="1288">
        <v>188.29</v>
      </c>
      <c r="J79" s="1288">
        <v>191.02</v>
      </c>
      <c r="K79" s="1288">
        <v>193.75</v>
      </c>
      <c r="L79" s="1288">
        <v>196.48</v>
      </c>
      <c r="M79" s="1288">
        <v>199.221</v>
      </c>
      <c r="N79" s="1288">
        <v>201.94</v>
      </c>
      <c r="O79" s="1289">
        <v>204.67</v>
      </c>
      <c r="P79" s="1289">
        <v>207.4</v>
      </c>
      <c r="Q79" s="1289">
        <v>210.13</v>
      </c>
      <c r="R79" s="1289">
        <v>212.86</v>
      </c>
      <c r="S79" s="1289">
        <v>163.72</v>
      </c>
      <c r="T79" s="1289">
        <v>160.99</v>
      </c>
      <c r="U79" s="1289">
        <v>119.99</v>
      </c>
      <c r="V79" s="1289">
        <v>117.26</v>
      </c>
      <c r="W79" s="1289">
        <v>114.53</v>
      </c>
      <c r="X79" s="62">
        <v>75</v>
      </c>
      <c r="Y79" s="1296">
        <v>101.85</v>
      </c>
      <c r="Z79" s="1297">
        <v>103.77</v>
      </c>
      <c r="AA79" s="1298">
        <v>105.7</v>
      </c>
      <c r="AB79" s="1299">
        <v>107.63</v>
      </c>
      <c r="AC79" s="1300">
        <v>109.56</v>
      </c>
      <c r="AD79" s="1300">
        <v>111.48</v>
      </c>
      <c r="AE79" s="1285">
        <v>113.41</v>
      </c>
      <c r="AF79" s="1301">
        <v>115.34</v>
      </c>
      <c r="AG79" s="1288">
        <v>117.27</v>
      </c>
      <c r="AH79" s="1288">
        <v>119.19</v>
      </c>
      <c r="AI79" s="1288">
        <v>121.12</v>
      </c>
      <c r="AJ79" s="1288">
        <v>123.05</v>
      </c>
      <c r="AK79" s="1288">
        <v>124.98</v>
      </c>
      <c r="AL79" s="1288">
        <v>126.9</v>
      </c>
      <c r="AM79" s="1289">
        <v>128.83000000000001</v>
      </c>
      <c r="AN79" s="1289">
        <v>130.76</v>
      </c>
      <c r="AO79" s="1289">
        <v>132.69</v>
      </c>
      <c r="AP79" s="1289">
        <v>134.61000000000001</v>
      </c>
      <c r="AQ79" s="1289">
        <v>99.92</v>
      </c>
      <c r="AR79" s="1289">
        <v>97.99</v>
      </c>
      <c r="AS79" s="1289">
        <v>76.900000000000006</v>
      </c>
      <c r="AT79" s="1289">
        <v>74.97</v>
      </c>
      <c r="AU79" s="1289">
        <v>73.040000000000006</v>
      </c>
    </row>
    <row r="80" spans="1:47">
      <c r="A80" s="1296">
        <v>168.7</v>
      </c>
      <c r="B80" s="1297">
        <v>171.47</v>
      </c>
      <c r="C80" s="1298">
        <v>174.23</v>
      </c>
      <c r="D80" s="1299">
        <v>177</v>
      </c>
      <c r="E80" s="1300">
        <v>179.77</v>
      </c>
      <c r="F80" s="1300">
        <v>182.53</v>
      </c>
      <c r="G80" s="1300">
        <v>183.3</v>
      </c>
      <c r="H80" s="1301">
        <v>188.07</v>
      </c>
      <c r="I80" s="1288">
        <v>190.83</v>
      </c>
      <c r="J80" s="1288">
        <v>193.6</v>
      </c>
      <c r="K80" s="1288">
        <v>196.36</v>
      </c>
      <c r="L80" s="1288">
        <v>199.13</v>
      </c>
      <c r="M80" s="1288">
        <v>201.9</v>
      </c>
      <c r="N80" s="1288">
        <v>204.66</v>
      </c>
      <c r="O80" s="1289">
        <v>207.43</v>
      </c>
      <c r="P80" s="1289">
        <v>210.2</v>
      </c>
      <c r="Q80" s="1289">
        <v>212.96</v>
      </c>
      <c r="R80" s="1289">
        <v>215.73</v>
      </c>
      <c r="S80" s="1289">
        <v>165.93</v>
      </c>
      <c r="T80" s="1289">
        <v>163.16999999999999</v>
      </c>
      <c r="U80" s="1289">
        <v>121.61</v>
      </c>
      <c r="V80" s="1289">
        <v>118.85</v>
      </c>
      <c r="W80" s="1289">
        <v>116.08</v>
      </c>
      <c r="X80" s="62">
        <v>76</v>
      </c>
      <c r="Y80" s="1296">
        <v>103.19</v>
      </c>
      <c r="Z80" s="1297">
        <v>105.15</v>
      </c>
      <c r="AA80" s="1298">
        <v>107.1</v>
      </c>
      <c r="AB80" s="1299">
        <v>109.05</v>
      </c>
      <c r="AC80" s="1300">
        <v>111</v>
      </c>
      <c r="AD80" s="1300">
        <v>112.96</v>
      </c>
      <c r="AE80" s="1285">
        <v>114.91</v>
      </c>
      <c r="AF80" s="1301">
        <v>116.86</v>
      </c>
      <c r="AG80" s="1288">
        <v>118.82</v>
      </c>
      <c r="AH80" s="1288">
        <v>120.77</v>
      </c>
      <c r="AI80" s="1288">
        <v>122.72</v>
      </c>
      <c r="AJ80" s="1288">
        <v>124.68</v>
      </c>
      <c r="AK80" s="1288">
        <v>126.63</v>
      </c>
      <c r="AL80" s="1288">
        <v>128.58000000000001</v>
      </c>
      <c r="AM80" s="1289">
        <v>130.54</v>
      </c>
      <c r="AN80" s="1289">
        <v>132.49</v>
      </c>
      <c r="AO80" s="1289">
        <v>134.44</v>
      </c>
      <c r="AP80" s="1289">
        <v>136.4</v>
      </c>
      <c r="AQ80" s="1289">
        <v>101.24</v>
      </c>
      <c r="AR80" s="1289">
        <v>99.29</v>
      </c>
      <c r="AS80" s="1289">
        <v>77.91</v>
      </c>
      <c r="AT80" s="1289">
        <v>75.959999999999994</v>
      </c>
      <c r="AU80" s="1289">
        <v>74.010000000000005</v>
      </c>
    </row>
    <row r="81" spans="1:47">
      <c r="A81" s="1296">
        <v>170.87</v>
      </c>
      <c r="B81" s="1297">
        <v>173.67</v>
      </c>
      <c r="C81" s="1298">
        <v>176.47</v>
      </c>
      <c r="D81" s="1299">
        <v>179.28</v>
      </c>
      <c r="E81" s="1300">
        <v>182.08</v>
      </c>
      <c r="F81" s="1300">
        <v>184.88</v>
      </c>
      <c r="G81" s="1300">
        <v>187.68</v>
      </c>
      <c r="H81" s="1301">
        <v>190.49</v>
      </c>
      <c r="I81" s="1288">
        <v>193.29</v>
      </c>
      <c r="J81" s="1288">
        <v>196.09</v>
      </c>
      <c r="K81" s="1288">
        <v>198.9</v>
      </c>
      <c r="L81" s="1288">
        <v>201.7</v>
      </c>
      <c r="M81" s="1288">
        <v>204.5</v>
      </c>
      <c r="N81" s="1288">
        <v>207.3</v>
      </c>
      <c r="O81" s="1289">
        <v>210.11</v>
      </c>
      <c r="P81" s="1289">
        <v>12.91</v>
      </c>
      <c r="Q81" s="1289">
        <v>215.71</v>
      </c>
      <c r="R81" s="1289">
        <v>218.51</v>
      </c>
      <c r="S81" s="1289">
        <v>168.06</v>
      </c>
      <c r="T81" s="1289">
        <v>165.26</v>
      </c>
      <c r="U81" s="1289">
        <v>123.18</v>
      </c>
      <c r="V81" s="1289">
        <v>120.38</v>
      </c>
      <c r="W81" s="1289">
        <v>117.58</v>
      </c>
      <c r="X81" s="62">
        <v>77</v>
      </c>
      <c r="Y81" s="1296">
        <v>104.54</v>
      </c>
      <c r="Z81" s="1297">
        <v>106.52</v>
      </c>
      <c r="AA81" s="1298">
        <v>108.5</v>
      </c>
      <c r="AB81" s="1299">
        <v>110.48</v>
      </c>
      <c r="AC81" s="1300">
        <v>112.45</v>
      </c>
      <c r="AD81" s="1300">
        <v>114.43</v>
      </c>
      <c r="AE81" s="1285">
        <v>116.41</v>
      </c>
      <c r="AF81" s="1301">
        <v>116.86</v>
      </c>
      <c r="AG81" s="1288">
        <v>120.37</v>
      </c>
      <c r="AH81" s="1288">
        <v>122.35</v>
      </c>
      <c r="AI81" s="1288">
        <v>124.33</v>
      </c>
      <c r="AJ81" s="1288">
        <v>126.31</v>
      </c>
      <c r="AK81" s="1288">
        <v>128.29</v>
      </c>
      <c r="AL81" s="1288">
        <v>130.26</v>
      </c>
      <c r="AM81" s="1289">
        <v>132.24</v>
      </c>
      <c r="AN81" s="1289">
        <v>134.22</v>
      </c>
      <c r="AO81" s="1289">
        <v>136.19999999999999</v>
      </c>
      <c r="AP81" s="1289">
        <v>138.18</v>
      </c>
      <c r="AQ81" s="1289">
        <v>102.56</v>
      </c>
      <c r="AR81" s="1289">
        <v>100.58</v>
      </c>
      <c r="AS81" s="1289">
        <v>78.930000000000007</v>
      </c>
      <c r="AT81" s="1289">
        <v>76.95</v>
      </c>
      <c r="AU81" s="1289">
        <v>74.97</v>
      </c>
    </row>
    <row r="82" spans="1:47">
      <c r="A82" s="1296">
        <v>173.04</v>
      </c>
      <c r="B82" s="1297">
        <v>175.88</v>
      </c>
      <c r="C82" s="1298">
        <v>178.72</v>
      </c>
      <c r="D82" s="1299">
        <v>181.56</v>
      </c>
      <c r="E82" s="1300">
        <v>184.4</v>
      </c>
      <c r="F82" s="1300">
        <v>187.24</v>
      </c>
      <c r="G82" s="1300">
        <v>190.08</v>
      </c>
      <c r="H82" s="1301">
        <v>192.92</v>
      </c>
      <c r="I82" s="1288">
        <v>195.76</v>
      </c>
      <c r="J82" s="1288">
        <v>198.6</v>
      </c>
      <c r="K82" s="1288">
        <v>201.44</v>
      </c>
      <c r="L82" s="1288">
        <v>204.27</v>
      </c>
      <c r="M82" s="1288">
        <v>207.11</v>
      </c>
      <c r="N82" s="1288">
        <v>209.95</v>
      </c>
      <c r="O82" s="1289">
        <v>212.79</v>
      </c>
      <c r="P82" s="1289">
        <v>215.63</v>
      </c>
      <c r="Q82" s="1289">
        <v>218.47</v>
      </c>
      <c r="R82" s="1289">
        <v>221.31</v>
      </c>
      <c r="S82" s="1289">
        <v>170.2</v>
      </c>
      <c r="T82" s="1289">
        <v>167.36</v>
      </c>
      <c r="U82" s="1289">
        <v>124.76</v>
      </c>
      <c r="V82" s="1289">
        <v>121.92</v>
      </c>
      <c r="W82" s="1289">
        <v>119.08</v>
      </c>
      <c r="X82" s="62">
        <v>78</v>
      </c>
      <c r="Y82" s="1296">
        <v>105.89</v>
      </c>
      <c r="Z82" s="1297">
        <v>107.89</v>
      </c>
      <c r="AA82" s="1298">
        <v>109.9</v>
      </c>
      <c r="AB82" s="1299">
        <v>111.9</v>
      </c>
      <c r="AC82" s="1300">
        <v>113.91</v>
      </c>
      <c r="AD82" s="1300">
        <v>115.91</v>
      </c>
      <c r="AE82" s="1285">
        <v>117.92</v>
      </c>
      <c r="AF82" s="1301">
        <v>119.92</v>
      </c>
      <c r="AG82" s="1288">
        <v>121.93</v>
      </c>
      <c r="AH82" s="1288">
        <v>123.93</v>
      </c>
      <c r="AI82" s="1288">
        <v>125.94</v>
      </c>
      <c r="AJ82" s="1288">
        <v>127.94</v>
      </c>
      <c r="AK82" s="1288">
        <v>129.94</v>
      </c>
      <c r="AL82" s="1288">
        <v>131.94999999999999</v>
      </c>
      <c r="AM82" s="1289">
        <v>133.94999999999999</v>
      </c>
      <c r="AN82" s="1289">
        <v>135.96</v>
      </c>
      <c r="AO82" s="1289">
        <v>137.96</v>
      </c>
      <c r="AP82" s="1289">
        <v>139.97</v>
      </c>
      <c r="AQ82" s="1289">
        <v>103.88</v>
      </c>
      <c r="AR82" s="1289">
        <v>101.88</v>
      </c>
      <c r="AS82" s="1289">
        <v>79.95</v>
      </c>
      <c r="AT82" s="1289">
        <v>77.95</v>
      </c>
      <c r="AU82" s="1289">
        <v>75.94</v>
      </c>
    </row>
    <row r="83" spans="1:47">
      <c r="A83" s="1296">
        <v>175.34</v>
      </c>
      <c r="B83" s="1297">
        <v>178.21</v>
      </c>
      <c r="C83" s="1298">
        <v>181.09</v>
      </c>
      <c r="D83" s="1299">
        <v>183.96</v>
      </c>
      <c r="E83" s="1300">
        <v>186.84</v>
      </c>
      <c r="F83" s="1300">
        <v>189.71</v>
      </c>
      <c r="G83" s="1300">
        <v>192.59</v>
      </c>
      <c r="H83" s="1301">
        <v>195.47</v>
      </c>
      <c r="I83" s="1288">
        <v>198.34</v>
      </c>
      <c r="J83" s="1288">
        <v>201.22</v>
      </c>
      <c r="K83" s="1288">
        <v>204.09</v>
      </c>
      <c r="L83" s="1288">
        <v>206.97</v>
      </c>
      <c r="M83" s="1288">
        <v>209.84</v>
      </c>
      <c r="N83" s="1288">
        <v>212.72</v>
      </c>
      <c r="O83" s="1289">
        <v>215.6</v>
      </c>
      <c r="P83" s="1289">
        <v>218.47</v>
      </c>
      <c r="Q83" s="1289">
        <v>221.35</v>
      </c>
      <c r="R83" s="1289">
        <v>224.22</v>
      </c>
      <c r="S83" s="1289">
        <v>172.46</v>
      </c>
      <c r="T83" s="1289">
        <v>169.59</v>
      </c>
      <c r="U83" s="1289">
        <v>126.4</v>
      </c>
      <c r="V83" s="1289">
        <v>123.53</v>
      </c>
      <c r="W83" s="1289">
        <v>120.65</v>
      </c>
      <c r="X83" s="62">
        <v>79</v>
      </c>
      <c r="Y83" s="1296">
        <v>107.24</v>
      </c>
      <c r="Z83" s="1297">
        <v>109.27</v>
      </c>
      <c r="AA83" s="1298">
        <v>111.3</v>
      </c>
      <c r="AB83" s="1299">
        <v>113.33</v>
      </c>
      <c r="AC83" s="1300">
        <v>115.36</v>
      </c>
      <c r="AD83" s="1300">
        <v>117.39</v>
      </c>
      <c r="AE83" s="1285">
        <v>119.42</v>
      </c>
      <c r="AF83" s="1301">
        <v>121.45</v>
      </c>
      <c r="AG83" s="1288">
        <v>123.48</v>
      </c>
      <c r="AH83" s="1288">
        <v>125.51</v>
      </c>
      <c r="AI83" s="1288">
        <v>127.54</v>
      </c>
      <c r="AJ83" s="1288">
        <v>129.58000000000001</v>
      </c>
      <c r="AK83" s="1288">
        <v>131.61000000000001</v>
      </c>
      <c r="AL83" s="1288">
        <v>133.63999999999999</v>
      </c>
      <c r="AM83" s="1289">
        <v>135.66999999999999</v>
      </c>
      <c r="AN83" s="1289">
        <v>137.69999999999999</v>
      </c>
      <c r="AO83" s="1289">
        <v>139.72999999999999</v>
      </c>
      <c r="AP83" s="1289">
        <v>141.76</v>
      </c>
      <c r="AQ83" s="1289">
        <v>105.21</v>
      </c>
      <c r="AR83" s="1289">
        <v>103.18</v>
      </c>
      <c r="AS83" s="1289">
        <v>80.97</v>
      </c>
      <c r="AT83" s="1289">
        <v>78.94</v>
      </c>
      <c r="AU83" s="1289">
        <v>76.91</v>
      </c>
    </row>
    <row r="84" spans="1:47">
      <c r="A84" s="1296">
        <v>177.54</v>
      </c>
      <c r="B84" s="1297">
        <v>180.45</v>
      </c>
      <c r="C84" s="1298">
        <v>183.36</v>
      </c>
      <c r="D84" s="1299">
        <v>186.27</v>
      </c>
      <c r="E84" s="1300">
        <v>189.18</v>
      </c>
      <c r="F84" s="1300">
        <v>192.1</v>
      </c>
      <c r="G84" s="1300">
        <v>195.01</v>
      </c>
      <c r="H84" s="1301">
        <v>197.92</v>
      </c>
      <c r="I84" s="1288">
        <v>200.83</v>
      </c>
      <c r="J84" s="1288">
        <v>203.74</v>
      </c>
      <c r="K84" s="1288">
        <v>206.66</v>
      </c>
      <c r="L84" s="1288">
        <v>209.57</v>
      </c>
      <c r="M84" s="1288">
        <v>212.48</v>
      </c>
      <c r="N84" s="1288">
        <v>215.39</v>
      </c>
      <c r="O84" s="1289">
        <v>218.3</v>
      </c>
      <c r="P84" s="1289">
        <v>221.22</v>
      </c>
      <c r="Q84" s="1289">
        <v>224.13</v>
      </c>
      <c r="R84" s="1289">
        <v>227.04</v>
      </c>
      <c r="S84" s="1289">
        <v>174.62</v>
      </c>
      <c r="T84" s="1289">
        <v>171.71</v>
      </c>
      <c r="U84" s="1289">
        <v>127.99</v>
      </c>
      <c r="V84" s="1289">
        <v>125.08</v>
      </c>
      <c r="W84" s="1289">
        <v>122.16</v>
      </c>
      <c r="X84" s="62">
        <v>80</v>
      </c>
      <c r="Y84" s="1296">
        <v>108.6</v>
      </c>
      <c r="Z84" s="1297">
        <v>110.65</v>
      </c>
      <c r="AA84" s="1298">
        <v>112.71</v>
      </c>
      <c r="AB84" s="1299">
        <v>114.77</v>
      </c>
      <c r="AC84" s="1300">
        <v>116.82</v>
      </c>
      <c r="AD84" s="1300">
        <v>118.88</v>
      </c>
      <c r="AE84" s="1285">
        <v>120.93</v>
      </c>
      <c r="AF84" s="1301">
        <v>122.99</v>
      </c>
      <c r="AG84" s="1288">
        <v>125.05</v>
      </c>
      <c r="AH84" s="1288">
        <v>127.1</v>
      </c>
      <c r="AI84" s="1288">
        <v>129.16</v>
      </c>
      <c r="AJ84" s="1288">
        <v>131.21</v>
      </c>
      <c r="AK84" s="1288">
        <v>133.27000000000001</v>
      </c>
      <c r="AL84" s="1288">
        <v>135.33000000000001</v>
      </c>
      <c r="AM84" s="1289">
        <v>137.38</v>
      </c>
      <c r="AN84" s="1289">
        <v>139.44</v>
      </c>
      <c r="AO84" s="1289">
        <v>141.49</v>
      </c>
      <c r="AP84" s="1289">
        <v>143.55000000000001</v>
      </c>
      <c r="AQ84" s="1289">
        <v>106.54</v>
      </c>
      <c r="AR84" s="1289">
        <v>104.49</v>
      </c>
      <c r="AS84" s="1289">
        <v>82</v>
      </c>
      <c r="AT84" s="1289">
        <v>79.94</v>
      </c>
      <c r="AU84" s="1289">
        <v>77.89</v>
      </c>
    </row>
    <row r="85" spans="1:47">
      <c r="A85" s="1296">
        <v>179.74</v>
      </c>
      <c r="B85" s="1297">
        <v>182.69</v>
      </c>
      <c r="C85" s="1298">
        <v>185.64</v>
      </c>
      <c r="D85" s="1299">
        <v>188.59</v>
      </c>
      <c r="E85" s="1300">
        <v>191.54</v>
      </c>
      <c r="F85" s="1300">
        <v>194.49</v>
      </c>
      <c r="G85" s="1300">
        <v>197.44</v>
      </c>
      <c r="H85" s="1301">
        <v>200.38</v>
      </c>
      <c r="I85" s="1288">
        <v>203.33</v>
      </c>
      <c r="J85" s="1288">
        <v>206.28</v>
      </c>
      <c r="K85" s="1288">
        <v>209.23</v>
      </c>
      <c r="L85" s="1288">
        <v>212.18</v>
      </c>
      <c r="M85" s="1288">
        <v>215.13</v>
      </c>
      <c r="N85" s="1288">
        <v>218.07</v>
      </c>
      <c r="O85" s="1289">
        <v>221.02</v>
      </c>
      <c r="P85" s="1289">
        <v>223.97</v>
      </c>
      <c r="Q85" s="1289">
        <v>226.92</v>
      </c>
      <c r="R85" s="1289">
        <v>229.87</v>
      </c>
      <c r="S85" s="1289">
        <v>176.8</v>
      </c>
      <c r="T85" s="1289">
        <v>173.85</v>
      </c>
      <c r="U85" s="1289">
        <v>129.58000000000001</v>
      </c>
      <c r="V85" s="1289">
        <v>126.63</v>
      </c>
      <c r="W85" s="1289">
        <v>123.69</v>
      </c>
      <c r="X85" s="62">
        <v>81</v>
      </c>
      <c r="Y85" s="1296">
        <v>109.96</v>
      </c>
      <c r="Z85" s="1297">
        <v>112.04</v>
      </c>
      <c r="AA85" s="1298">
        <v>114.12</v>
      </c>
      <c r="AB85" s="1299">
        <v>118.2</v>
      </c>
      <c r="AC85" s="1300">
        <v>118.28</v>
      </c>
      <c r="AD85" s="1300">
        <v>120.36</v>
      </c>
      <c r="AE85" s="1285">
        <v>122.45</v>
      </c>
      <c r="AF85" s="1301">
        <v>124.53</v>
      </c>
      <c r="AG85" s="1288">
        <v>126.61</v>
      </c>
      <c r="AH85" s="1288">
        <v>128.69</v>
      </c>
      <c r="AI85" s="1288">
        <v>130.77000000000001</v>
      </c>
      <c r="AJ85" s="1288">
        <v>132.85</v>
      </c>
      <c r="AK85" s="1288">
        <v>134.94</v>
      </c>
      <c r="AL85" s="1288">
        <v>137.02000000000001</v>
      </c>
      <c r="AM85" s="1289">
        <v>139.1</v>
      </c>
      <c r="AN85" s="1289">
        <v>141.18</v>
      </c>
      <c r="AO85" s="1289">
        <v>143.26</v>
      </c>
      <c r="AP85" s="1289">
        <v>145.34</v>
      </c>
      <c r="AQ85" s="1289">
        <v>107.87</v>
      </c>
      <c r="AR85" s="1289">
        <v>105.79</v>
      </c>
      <c r="AS85" s="1289">
        <v>83.02</v>
      </c>
      <c r="AT85" s="1289">
        <v>80.94</v>
      </c>
      <c r="AU85" s="1289">
        <v>78.86</v>
      </c>
    </row>
    <row r="86" spans="1:47">
      <c r="A86" s="1296">
        <v>181.85</v>
      </c>
      <c r="B86" s="1297">
        <v>184.83</v>
      </c>
      <c r="C86" s="1298">
        <v>187.82</v>
      </c>
      <c r="D86" s="1299">
        <v>190.8</v>
      </c>
      <c r="E86" s="1300">
        <v>193.79</v>
      </c>
      <c r="F86" s="1300">
        <v>196.77</v>
      </c>
      <c r="G86" s="1300">
        <v>199.76</v>
      </c>
      <c r="H86" s="1301">
        <v>202.74</v>
      </c>
      <c r="I86" s="1288">
        <v>205.73</v>
      </c>
      <c r="J86" s="1288">
        <v>208.71</v>
      </c>
      <c r="K86" s="1288">
        <v>211.7</v>
      </c>
      <c r="L86" s="1288">
        <v>214.68</v>
      </c>
      <c r="M86" s="1288">
        <v>217.67</v>
      </c>
      <c r="N86" s="1288">
        <v>220.65</v>
      </c>
      <c r="O86" s="1289">
        <v>223.64</v>
      </c>
      <c r="P86" s="1289">
        <v>226.62</v>
      </c>
      <c r="Q86" s="1289">
        <v>229.61</v>
      </c>
      <c r="R86" s="1289">
        <v>232.59</v>
      </c>
      <c r="S86" s="1289">
        <v>178.86</v>
      </c>
      <c r="T86" s="1289">
        <v>175.88</v>
      </c>
      <c r="U86" s="1289">
        <v>131.12</v>
      </c>
      <c r="V86" s="1289">
        <v>128.13</v>
      </c>
      <c r="W86" s="1289">
        <v>125.15</v>
      </c>
      <c r="X86" s="62">
        <v>82</v>
      </c>
      <c r="Y86" s="1296">
        <v>111.29</v>
      </c>
      <c r="Z86" s="1297">
        <v>113.39</v>
      </c>
      <c r="AA86" s="1298">
        <v>11.5</v>
      </c>
      <c r="AB86" s="1299">
        <v>117.61</v>
      </c>
      <c r="AC86" s="1300">
        <v>119.72</v>
      </c>
      <c r="AD86" s="1300">
        <v>121.82</v>
      </c>
      <c r="AE86" s="1285">
        <v>123.93</v>
      </c>
      <c r="AF86" s="1301">
        <v>126.04</v>
      </c>
      <c r="AG86" s="1288">
        <v>128.15</v>
      </c>
      <c r="AH86" s="1288">
        <v>130.25</v>
      </c>
      <c r="AI86" s="1288">
        <v>132.36000000000001</v>
      </c>
      <c r="AJ86" s="1288">
        <v>134.47</v>
      </c>
      <c r="AK86" s="1288">
        <v>136.57</v>
      </c>
      <c r="AL86" s="1288">
        <v>138.68</v>
      </c>
      <c r="AM86" s="1289">
        <v>140.79</v>
      </c>
      <c r="AN86" s="1289">
        <v>142.9</v>
      </c>
      <c r="AO86" s="1289">
        <v>145</v>
      </c>
      <c r="AP86" s="1289">
        <v>147.11000000000001</v>
      </c>
      <c r="AQ86" s="1289">
        <v>109.18</v>
      </c>
      <c r="AR86" s="1289">
        <v>107.07</v>
      </c>
      <c r="AS86" s="1289">
        <v>84.03</v>
      </c>
      <c r="AT86" s="1289">
        <v>81.92</v>
      </c>
      <c r="AU86" s="1289">
        <v>79.819999999999993</v>
      </c>
    </row>
    <row r="87" spans="1:47">
      <c r="A87" s="1296">
        <v>184.08</v>
      </c>
      <c r="B87" s="1297">
        <v>187.1</v>
      </c>
      <c r="C87" s="1298">
        <v>190.12</v>
      </c>
      <c r="D87" s="1299">
        <v>193.14</v>
      </c>
      <c r="E87" s="1300">
        <v>196.16</v>
      </c>
      <c r="F87" s="1300">
        <v>19918</v>
      </c>
      <c r="G87" s="1300">
        <v>202.21</v>
      </c>
      <c r="H87" s="1301">
        <v>205.23</v>
      </c>
      <c r="I87" s="1288">
        <v>208.25</v>
      </c>
      <c r="J87" s="1288">
        <v>211.27</v>
      </c>
      <c r="K87" s="1288">
        <v>214.29</v>
      </c>
      <c r="L87" s="1288">
        <v>217.31</v>
      </c>
      <c r="M87" s="1288">
        <v>220.33</v>
      </c>
      <c r="N87" s="1288">
        <v>223.35</v>
      </c>
      <c r="O87" s="1289">
        <v>226.38</v>
      </c>
      <c r="P87" s="1289">
        <v>229.4</v>
      </c>
      <c r="Q87" s="1289">
        <v>232.42</v>
      </c>
      <c r="R87" s="1289">
        <v>235.44</v>
      </c>
      <c r="S87" s="1289">
        <v>181.06</v>
      </c>
      <c r="T87" s="1289">
        <v>178.04</v>
      </c>
      <c r="U87" s="1289">
        <v>132.72</v>
      </c>
      <c r="V87" s="1289">
        <v>129.69999999999999</v>
      </c>
      <c r="W87" s="1289">
        <v>126.68</v>
      </c>
      <c r="X87" s="62">
        <v>83</v>
      </c>
      <c r="Y87" s="1296">
        <v>112.65</v>
      </c>
      <c r="Z87" s="1297">
        <v>114.78</v>
      </c>
      <c r="AA87" s="1298">
        <v>116.92</v>
      </c>
      <c r="AB87" s="1299">
        <v>119.05</v>
      </c>
      <c r="AC87" s="1300">
        <v>121.18</v>
      </c>
      <c r="AD87" s="1300">
        <v>123.32</v>
      </c>
      <c r="AE87" s="1285">
        <v>125.45</v>
      </c>
      <c r="AF87" s="1301">
        <v>127.58</v>
      </c>
      <c r="AG87" s="1288">
        <v>129.72</v>
      </c>
      <c r="AH87" s="1288">
        <v>131.85</v>
      </c>
      <c r="AI87" s="1288">
        <v>133.97999999999999</v>
      </c>
      <c r="AJ87" s="1288">
        <v>136.11000000000001</v>
      </c>
      <c r="AK87" s="1288">
        <v>138.25</v>
      </c>
      <c r="AL87" s="1288">
        <v>140.38</v>
      </c>
      <c r="AM87" s="1289">
        <v>142.51</v>
      </c>
      <c r="AN87" s="1289">
        <v>144.65</v>
      </c>
      <c r="AO87" s="1289">
        <v>146.78</v>
      </c>
      <c r="AP87" s="1289">
        <v>148.91</v>
      </c>
      <c r="AQ87" s="1289">
        <v>110.52</v>
      </c>
      <c r="AR87" s="1289">
        <v>108.38</v>
      </c>
      <c r="AS87" s="1289">
        <v>85.06</v>
      </c>
      <c r="AT87" s="1289">
        <v>82.93</v>
      </c>
      <c r="AU87" s="1289">
        <v>80.8</v>
      </c>
    </row>
    <row r="88" spans="1:47">
      <c r="A88" s="1296">
        <v>186.32</v>
      </c>
      <c r="B88" s="1297">
        <v>189.38</v>
      </c>
      <c r="C88" s="1298">
        <v>192.43</v>
      </c>
      <c r="D88" s="1299">
        <v>195.49</v>
      </c>
      <c r="E88" s="1300">
        <v>198.55</v>
      </c>
      <c r="F88" s="1300">
        <v>201.61</v>
      </c>
      <c r="G88" s="1300">
        <v>204.67</v>
      </c>
      <c r="H88" s="1301">
        <v>207.72</v>
      </c>
      <c r="I88" s="1288">
        <v>210.78</v>
      </c>
      <c r="J88" s="1288">
        <v>213.84</v>
      </c>
      <c r="K88" s="1288">
        <v>216.9</v>
      </c>
      <c r="L88" s="1288">
        <v>219.95</v>
      </c>
      <c r="M88" s="1288">
        <v>223.01</v>
      </c>
      <c r="N88" s="1288">
        <v>226.07</v>
      </c>
      <c r="O88" s="1289">
        <v>229.13</v>
      </c>
      <c r="P88" s="1289">
        <v>232.18</v>
      </c>
      <c r="Q88" s="1289">
        <v>235.24</v>
      </c>
      <c r="R88" s="1289">
        <v>238.3</v>
      </c>
      <c r="S88" s="1289">
        <v>183.26</v>
      </c>
      <c r="T88" s="1289">
        <v>180.2</v>
      </c>
      <c r="U88" s="1289">
        <v>134.33000000000001</v>
      </c>
      <c r="V88" s="1289">
        <v>131.28</v>
      </c>
      <c r="W88" s="1289">
        <v>128.22</v>
      </c>
      <c r="X88" s="62">
        <v>84</v>
      </c>
      <c r="Y88" s="1296">
        <v>113.98</v>
      </c>
      <c r="Z88" s="1297">
        <v>116.14</v>
      </c>
      <c r="AA88" s="1298">
        <v>118.3</v>
      </c>
      <c r="AB88" s="1299">
        <v>12.46</v>
      </c>
      <c r="AC88" s="1300">
        <v>122.62</v>
      </c>
      <c r="AD88" s="1300">
        <v>124.78</v>
      </c>
      <c r="AE88" s="1285">
        <v>126.94</v>
      </c>
      <c r="AF88" s="1301">
        <v>129.1</v>
      </c>
      <c r="AG88" s="1288">
        <v>131.36000000000001</v>
      </c>
      <c r="AH88" s="1288">
        <v>133.41</v>
      </c>
      <c r="AI88" s="1288">
        <v>135.57</v>
      </c>
      <c r="AJ88" s="1288">
        <v>137.72999999999999</v>
      </c>
      <c r="AK88" s="1288">
        <v>139.88999999999999</v>
      </c>
      <c r="AL88" s="1288">
        <v>142.05000000000001</v>
      </c>
      <c r="AM88" s="1289">
        <v>144.21</v>
      </c>
      <c r="AN88" s="1289">
        <v>146.37</v>
      </c>
      <c r="AO88" s="1289">
        <v>148.53</v>
      </c>
      <c r="AP88" s="1289">
        <v>150.68</v>
      </c>
      <c r="AQ88" s="1289">
        <v>111.83</v>
      </c>
      <c r="AR88" s="1289">
        <v>109.67</v>
      </c>
      <c r="AS88" s="1289">
        <v>86.07</v>
      </c>
      <c r="AT88" s="1289">
        <v>83.91</v>
      </c>
      <c r="AU88" s="1289">
        <v>81.75</v>
      </c>
    </row>
    <row r="89" spans="1:47">
      <c r="A89" s="1296">
        <v>188.57</v>
      </c>
      <c r="B89" s="1297">
        <v>191.67</v>
      </c>
      <c r="C89" s="1298">
        <v>194.76</v>
      </c>
      <c r="D89" s="1299">
        <v>197.85</v>
      </c>
      <c r="E89" s="1300">
        <v>200.95</v>
      </c>
      <c r="F89" s="1300">
        <v>204.04</v>
      </c>
      <c r="G89" s="1300">
        <v>207.14</v>
      </c>
      <c r="H89" s="1301">
        <v>210.23</v>
      </c>
      <c r="I89" s="1288">
        <v>213.32</v>
      </c>
      <c r="J89" s="1288">
        <v>216.42</v>
      </c>
      <c r="K89" s="1288">
        <v>219.51</v>
      </c>
      <c r="L89" s="1288">
        <v>222.61</v>
      </c>
      <c r="M89" s="1288">
        <v>225.7</v>
      </c>
      <c r="N89" s="1288">
        <v>228.79</v>
      </c>
      <c r="O89" s="1289">
        <v>231.89</v>
      </c>
      <c r="P89" s="1289">
        <v>234.98</v>
      </c>
      <c r="Q89" s="1289">
        <v>238.08</v>
      </c>
      <c r="R89" s="1289">
        <v>241.17</v>
      </c>
      <c r="S89" s="1289">
        <v>185.48</v>
      </c>
      <c r="T89" s="1289">
        <v>182.38</v>
      </c>
      <c r="U89" s="1289">
        <v>135.94999999999999</v>
      </c>
      <c r="V89" s="1289">
        <v>132.86000000000001</v>
      </c>
      <c r="W89" s="1289">
        <v>129.77000000000001</v>
      </c>
      <c r="X89" s="62">
        <v>85</v>
      </c>
      <c r="Y89" s="1296">
        <v>115.35</v>
      </c>
      <c r="Z89" s="1297">
        <v>117.54</v>
      </c>
      <c r="AA89" s="1298">
        <v>119.72</v>
      </c>
      <c r="AB89" s="1299">
        <v>121.91</v>
      </c>
      <c r="AC89" s="1300">
        <v>124.09</v>
      </c>
      <c r="AD89" s="1300">
        <v>126.28</v>
      </c>
      <c r="AE89" s="1285">
        <v>128.46</v>
      </c>
      <c r="AF89" s="1301">
        <v>130.65</v>
      </c>
      <c r="AG89" s="1288">
        <v>132.83000000000001</v>
      </c>
      <c r="AH89" s="1288">
        <v>135.02000000000001</v>
      </c>
      <c r="AI89" s="1288">
        <v>137.19999999999999</v>
      </c>
      <c r="AJ89" s="1288">
        <v>139.38</v>
      </c>
      <c r="AK89" s="1288">
        <v>141.57</v>
      </c>
      <c r="AL89" s="1288">
        <v>143.75</v>
      </c>
      <c r="AM89" s="1289">
        <v>145.94</v>
      </c>
      <c r="AN89" s="1289">
        <v>148.12</v>
      </c>
      <c r="AO89" s="1289">
        <v>150.31</v>
      </c>
      <c r="AP89" s="1289">
        <v>152.49</v>
      </c>
      <c r="AQ89" s="1289">
        <v>113.17</v>
      </c>
      <c r="AR89" s="1289">
        <v>110.99</v>
      </c>
      <c r="AS89" s="1289">
        <v>87.1</v>
      </c>
      <c r="AT89" s="1289">
        <v>84.92</v>
      </c>
      <c r="AU89" s="1289">
        <v>82.74</v>
      </c>
    </row>
    <row r="90" spans="1:47">
      <c r="A90" s="1296">
        <v>190.71</v>
      </c>
      <c r="B90" s="1297">
        <v>193.84</v>
      </c>
      <c r="C90" s="1298">
        <v>196.97</v>
      </c>
      <c r="D90" s="1299">
        <v>200.1</v>
      </c>
      <c r="E90" s="1300">
        <v>203.23</v>
      </c>
      <c r="F90" s="1300">
        <v>206.36</v>
      </c>
      <c r="G90" s="1300">
        <v>209.49</v>
      </c>
      <c r="H90" s="1301">
        <v>212.62</v>
      </c>
      <c r="I90" s="1288">
        <v>215.75</v>
      </c>
      <c r="J90" s="1288">
        <v>218.89</v>
      </c>
      <c r="K90" s="1288">
        <v>222.02</v>
      </c>
      <c r="L90" s="1288">
        <v>225.15</v>
      </c>
      <c r="M90" s="1288">
        <v>228.28</v>
      </c>
      <c r="N90" s="1288">
        <v>231.41</v>
      </c>
      <c r="O90" s="1289">
        <v>234.54</v>
      </c>
      <c r="P90" s="1289">
        <v>237.67</v>
      </c>
      <c r="Q90" s="1289">
        <v>240.8</v>
      </c>
      <c r="R90" s="1289">
        <v>243.93</v>
      </c>
      <c r="S90" s="1289">
        <v>187.58</v>
      </c>
      <c r="T90" s="1289">
        <v>184.45</v>
      </c>
      <c r="U90" s="1289">
        <v>137.51</v>
      </c>
      <c r="V90" s="1289">
        <v>134.38</v>
      </c>
      <c r="W90" s="1289">
        <v>131.25</v>
      </c>
      <c r="X90" s="62">
        <v>86</v>
      </c>
      <c r="Y90" s="1296">
        <v>116.69</v>
      </c>
      <c r="Z90" s="1297">
        <v>118.9</v>
      </c>
      <c r="AA90" s="1298">
        <v>121.11</v>
      </c>
      <c r="AB90" s="1299">
        <v>123.32</v>
      </c>
      <c r="AC90" s="1300">
        <v>125.53</v>
      </c>
      <c r="AD90" s="1300">
        <v>127.74</v>
      </c>
      <c r="AE90" s="1285">
        <v>129.94999999999999</v>
      </c>
      <c r="AF90" s="1301">
        <v>132.16999999999999</v>
      </c>
      <c r="AG90" s="1288">
        <v>134.38</v>
      </c>
      <c r="AH90" s="1288">
        <v>136.59</v>
      </c>
      <c r="AI90" s="1288">
        <v>138.80000000000001</v>
      </c>
      <c r="AJ90" s="1288">
        <v>141.01</v>
      </c>
      <c r="AK90" s="1288">
        <v>143.22</v>
      </c>
      <c r="AL90" s="1288">
        <v>145.43</v>
      </c>
      <c r="AM90" s="1289">
        <v>147.63999999999999</v>
      </c>
      <c r="AN90" s="1289">
        <v>149.85</v>
      </c>
      <c r="AO90" s="1289">
        <v>152.06</v>
      </c>
      <c r="AP90" s="1289">
        <v>154.27000000000001</v>
      </c>
      <c r="AQ90" s="1289">
        <v>114.48</v>
      </c>
      <c r="AR90" s="1289">
        <v>112.27</v>
      </c>
      <c r="AS90" s="1289">
        <v>88.12</v>
      </c>
      <c r="AT90" s="1289">
        <v>85.91</v>
      </c>
      <c r="AU90" s="1289">
        <v>83.7</v>
      </c>
    </row>
    <row r="91" spans="1:47">
      <c r="A91" s="1296">
        <v>192.86</v>
      </c>
      <c r="B91" s="1297">
        <v>196.02</v>
      </c>
      <c r="C91" s="1298">
        <v>199.19</v>
      </c>
      <c r="D91" s="1299">
        <v>202.36</v>
      </c>
      <c r="E91" s="1300">
        <v>205.52</v>
      </c>
      <c r="F91" s="1300">
        <v>208.69</v>
      </c>
      <c r="G91" s="1300">
        <v>211.86</v>
      </c>
      <c r="H91" s="1301">
        <v>215.03</v>
      </c>
      <c r="I91" s="1288">
        <v>218.19</v>
      </c>
      <c r="J91" s="1288">
        <v>221.36</v>
      </c>
      <c r="K91" s="1288">
        <v>224.5</v>
      </c>
      <c r="L91" s="1288">
        <v>227.69</v>
      </c>
      <c r="M91" s="1288">
        <v>230.86</v>
      </c>
      <c r="N91" s="1288">
        <v>234.03</v>
      </c>
      <c r="O91" s="1289">
        <v>237.19</v>
      </c>
      <c r="P91" s="1289">
        <v>240.36</v>
      </c>
      <c r="Q91" s="1289">
        <v>243.53</v>
      </c>
      <c r="R91" s="1289">
        <v>246.69</v>
      </c>
      <c r="S91" s="1289">
        <v>189.69</v>
      </c>
      <c r="T91" s="1289">
        <v>186.52</v>
      </c>
      <c r="U91" s="1289">
        <v>139.06</v>
      </c>
      <c r="V91" s="1289">
        <v>135.9</v>
      </c>
      <c r="W91" s="1289">
        <v>132.72999999999999</v>
      </c>
      <c r="X91" s="62">
        <v>87</v>
      </c>
      <c r="Y91" s="1296">
        <v>118.03</v>
      </c>
      <c r="Z91" s="1297">
        <v>120.27</v>
      </c>
      <c r="AA91" s="1298">
        <v>122.51</v>
      </c>
      <c r="AB91" s="1299">
        <v>124.74</v>
      </c>
      <c r="AC91" s="1300">
        <v>126.98</v>
      </c>
      <c r="AD91" s="1300">
        <v>129.21</v>
      </c>
      <c r="AE91" s="1285">
        <v>131.44999999999999</v>
      </c>
      <c r="AF91" s="1301">
        <v>133.69</v>
      </c>
      <c r="AG91" s="1288">
        <v>135.91999999999999</v>
      </c>
      <c r="AH91" s="1288">
        <v>138.16</v>
      </c>
      <c r="AI91" s="1288">
        <v>140.38999999999999</v>
      </c>
      <c r="AJ91" s="1288">
        <v>142.63</v>
      </c>
      <c r="AK91" s="1288">
        <v>144.87</v>
      </c>
      <c r="AL91" s="1288">
        <v>147.1</v>
      </c>
      <c r="AM91" s="1289">
        <v>149.34</v>
      </c>
      <c r="AN91" s="1289">
        <v>151.57</v>
      </c>
      <c r="AO91" s="1289">
        <v>153.81</v>
      </c>
      <c r="AP91" s="1289">
        <v>156.05000000000001</v>
      </c>
      <c r="AQ91" s="1289">
        <v>115.8</v>
      </c>
      <c r="AR91" s="1289">
        <v>113.56</v>
      </c>
      <c r="AS91" s="1289">
        <v>89.13</v>
      </c>
      <c r="AT91" s="1289">
        <v>86.9</v>
      </c>
      <c r="AU91" s="1289">
        <v>84.66</v>
      </c>
    </row>
    <row r="92" spans="1:47">
      <c r="A92" s="1296">
        <v>195.14</v>
      </c>
      <c r="B92" s="1297">
        <v>198.35</v>
      </c>
      <c r="C92" s="1298">
        <v>201.55</v>
      </c>
      <c r="D92" s="1299">
        <v>204.75</v>
      </c>
      <c r="E92" s="1300">
        <v>207.96</v>
      </c>
      <c r="F92" s="1300">
        <v>211.16</v>
      </c>
      <c r="G92" s="1300">
        <v>214.36</v>
      </c>
      <c r="H92" s="1301">
        <v>217.57</v>
      </c>
      <c r="I92" s="1288">
        <v>220.77</v>
      </c>
      <c r="J92" s="1288">
        <v>223.97</v>
      </c>
      <c r="K92" s="1288">
        <v>227.18</v>
      </c>
      <c r="L92" s="1288">
        <v>230.38</v>
      </c>
      <c r="M92" s="1288">
        <v>233.58</v>
      </c>
      <c r="N92" s="1288">
        <v>236.79</v>
      </c>
      <c r="O92" s="1289">
        <v>239.99</v>
      </c>
      <c r="P92" s="1289">
        <v>243.19</v>
      </c>
      <c r="Q92" s="1289">
        <v>246.39</v>
      </c>
      <c r="R92" s="1289">
        <v>249.6</v>
      </c>
      <c r="S92" s="1289">
        <v>191.94</v>
      </c>
      <c r="T92" s="1289">
        <v>188.74</v>
      </c>
      <c r="U92" s="1289">
        <v>140.69999999999999</v>
      </c>
      <c r="V92" s="1289">
        <v>137.5</v>
      </c>
      <c r="W92" s="1289">
        <v>134.30000000000001</v>
      </c>
      <c r="X92" s="62">
        <v>88</v>
      </c>
      <c r="Y92" s="1296">
        <v>119.38</v>
      </c>
      <c r="Z92" s="1297">
        <v>121.64</v>
      </c>
      <c r="AA92" s="1298">
        <v>123.9</v>
      </c>
      <c r="AB92" s="1299">
        <v>126.16</v>
      </c>
      <c r="AC92" s="1300">
        <v>128.41999999999999</v>
      </c>
      <c r="AD92" s="1300">
        <v>130.69</v>
      </c>
      <c r="AE92" s="1285">
        <v>132.94999999999999</v>
      </c>
      <c r="AF92" s="1301">
        <v>135.21</v>
      </c>
      <c r="AG92" s="1288">
        <v>137.47</v>
      </c>
      <c r="AH92" s="1288">
        <v>139.72999999999999</v>
      </c>
      <c r="AI92" s="1288">
        <v>141.99</v>
      </c>
      <c r="AJ92" s="1288">
        <v>144.26</v>
      </c>
      <c r="AK92" s="1288">
        <v>146.52000000000001</v>
      </c>
      <c r="AL92" s="1288">
        <v>148.78</v>
      </c>
      <c r="AM92" s="1289">
        <v>151.01</v>
      </c>
      <c r="AN92" s="1289">
        <v>153.30000000000001</v>
      </c>
      <c r="AO92" s="1289">
        <v>155.56</v>
      </c>
      <c r="AP92" s="1289">
        <v>157.83000000000001</v>
      </c>
      <c r="AQ92" s="1289">
        <v>117.12</v>
      </c>
      <c r="AR92" s="1289">
        <v>114.85</v>
      </c>
      <c r="AS92" s="1289">
        <v>90.15</v>
      </c>
      <c r="AT92" s="1289">
        <v>87.89</v>
      </c>
      <c r="AU92" s="1289">
        <v>85.63</v>
      </c>
    </row>
    <row r="93" spans="1:47">
      <c r="A93" s="1296">
        <v>197.31</v>
      </c>
      <c r="B93" s="1297">
        <v>200.55</v>
      </c>
      <c r="C93" s="1298">
        <v>203.79</v>
      </c>
      <c r="D93" s="1299">
        <v>207.03</v>
      </c>
      <c r="E93" s="1300">
        <v>210.27</v>
      </c>
      <c r="F93" s="1300">
        <v>213.51</v>
      </c>
      <c r="G93" s="1300">
        <v>216.75</v>
      </c>
      <c r="H93" s="1301">
        <v>219.98</v>
      </c>
      <c r="I93" s="1288">
        <v>223.22</v>
      </c>
      <c r="J93" s="1288">
        <v>226.46</v>
      </c>
      <c r="K93" s="1288">
        <v>229.7</v>
      </c>
      <c r="L93" s="1288">
        <v>232.94</v>
      </c>
      <c r="M93" s="1288">
        <v>236.18</v>
      </c>
      <c r="N93" s="1288">
        <v>239.42</v>
      </c>
      <c r="O93" s="1289">
        <v>242.66</v>
      </c>
      <c r="P93" s="1289">
        <v>245.9</v>
      </c>
      <c r="Q93" s="1289">
        <v>249.14</v>
      </c>
      <c r="R93" s="1289">
        <v>252.38</v>
      </c>
      <c r="S93" s="1289">
        <v>194.07</v>
      </c>
      <c r="T93" s="1289">
        <v>190.83</v>
      </c>
      <c r="U93" s="1289">
        <v>142.27000000000001</v>
      </c>
      <c r="V93" s="1289">
        <v>139.03</v>
      </c>
      <c r="W93" s="1289">
        <v>135.79</v>
      </c>
      <c r="X93" s="62">
        <v>89</v>
      </c>
      <c r="Y93" s="1296">
        <v>120.72</v>
      </c>
      <c r="Z93" s="1297">
        <v>123.01</v>
      </c>
      <c r="AA93" s="1298">
        <v>125.3</v>
      </c>
      <c r="AB93" s="1299">
        <v>127.59</v>
      </c>
      <c r="AC93" s="1300">
        <v>129.87799999999999</v>
      </c>
      <c r="AD93" s="1300">
        <v>132.16</v>
      </c>
      <c r="AE93" s="1285">
        <v>134.44999999999999</v>
      </c>
      <c r="AF93" s="1301">
        <v>136.72999999999999</v>
      </c>
      <c r="AG93" s="1288">
        <v>139.02000000000001</v>
      </c>
      <c r="AH93" s="1288">
        <v>141.31</v>
      </c>
      <c r="AI93" s="1288">
        <v>143.6</v>
      </c>
      <c r="AJ93" s="1288">
        <v>145.88</v>
      </c>
      <c r="AK93" s="1288">
        <v>148.16999999999999</v>
      </c>
      <c r="AL93" s="1288">
        <v>150.46</v>
      </c>
      <c r="AM93" s="1289">
        <v>152.75</v>
      </c>
      <c r="AN93" s="1289">
        <v>155.03</v>
      </c>
      <c r="AO93" s="1289">
        <v>157.32</v>
      </c>
      <c r="AP93" s="1289">
        <v>159.61000000000001</v>
      </c>
      <c r="AQ93" s="1289">
        <v>118.4</v>
      </c>
      <c r="AR93" s="1289">
        <v>116.15</v>
      </c>
      <c r="AS93" s="1289">
        <v>91.17</v>
      </c>
      <c r="AT93" s="1289">
        <v>88.88</v>
      </c>
      <c r="AU93" s="1289">
        <v>86.59</v>
      </c>
    </row>
    <row r="94" spans="1:47">
      <c r="A94" s="1296">
        <v>199.48</v>
      </c>
      <c r="B94" s="1297">
        <v>202.76</v>
      </c>
      <c r="C94" s="1298">
        <v>206.03</v>
      </c>
      <c r="D94" s="1299">
        <v>209.31</v>
      </c>
      <c r="E94" s="1300">
        <v>212.58</v>
      </c>
      <c r="F94" s="1300">
        <v>215.86</v>
      </c>
      <c r="G94" s="1300">
        <v>219.14</v>
      </c>
      <c r="H94" s="1301">
        <v>222.41</v>
      </c>
      <c r="I94" s="1288">
        <v>225.69</v>
      </c>
      <c r="J94" s="1288">
        <v>228.96</v>
      </c>
      <c r="K94" s="1288">
        <v>232.24</v>
      </c>
      <c r="L94" s="1288">
        <v>235.52</v>
      </c>
      <c r="M94" s="1288">
        <v>238.79</v>
      </c>
      <c r="N94" s="1288">
        <v>242.07</v>
      </c>
      <c r="O94" s="1289">
        <v>245.34</v>
      </c>
      <c r="P94" s="1289">
        <v>248.62</v>
      </c>
      <c r="Q94" s="1289">
        <v>251.9</v>
      </c>
      <c r="R94" s="1289">
        <v>255.17</v>
      </c>
      <c r="S94" s="1289">
        <v>196.2</v>
      </c>
      <c r="T94" s="1289">
        <v>192.93</v>
      </c>
      <c r="U94" s="1289">
        <v>143.84</v>
      </c>
      <c r="V94" s="1289">
        <v>140.57</v>
      </c>
      <c r="W94" s="1289">
        <v>137.29</v>
      </c>
      <c r="X94" s="62">
        <v>90</v>
      </c>
      <c r="Y94" s="1296">
        <v>122.11</v>
      </c>
      <c r="Z94" s="1297">
        <v>124.42</v>
      </c>
      <c r="AA94" s="1298">
        <v>126.73</v>
      </c>
      <c r="AB94" s="1299">
        <v>129.05000000000001</v>
      </c>
      <c r="AC94" s="1300">
        <v>131.36000000000001</v>
      </c>
      <c r="AD94" s="1300">
        <v>133.66999999999999</v>
      </c>
      <c r="AE94" s="1285">
        <v>135.99</v>
      </c>
      <c r="AF94" s="1301">
        <v>138.30000000000001</v>
      </c>
      <c r="AG94" s="1288">
        <v>140.61000000000001</v>
      </c>
      <c r="AH94" s="1288">
        <v>142.93</v>
      </c>
      <c r="AI94" s="1288">
        <v>145.24</v>
      </c>
      <c r="AJ94" s="1288">
        <v>147.55000000000001</v>
      </c>
      <c r="AK94" s="1288">
        <v>149.86000000000001</v>
      </c>
      <c r="AL94" s="1288">
        <v>152.18</v>
      </c>
      <c r="AM94" s="1289">
        <v>154.49</v>
      </c>
      <c r="AN94" s="1289">
        <v>156.80000000000001</v>
      </c>
      <c r="AO94" s="1289">
        <v>159.12</v>
      </c>
      <c r="AP94" s="1289">
        <v>161.43</v>
      </c>
      <c r="AQ94" s="1289">
        <v>119.8</v>
      </c>
      <c r="AR94" s="1289">
        <v>117.48</v>
      </c>
      <c r="AS94" s="1289">
        <v>92.21</v>
      </c>
      <c r="AT94" s="1289">
        <v>89.9</v>
      </c>
      <c r="AU94" s="1289">
        <v>87.58</v>
      </c>
    </row>
    <row r="95" spans="1:47">
      <c r="A95" s="1296">
        <v>201.8</v>
      </c>
      <c r="B95" s="1297">
        <v>205.11</v>
      </c>
      <c r="C95" s="1298">
        <v>208.43</v>
      </c>
      <c r="D95" s="1299">
        <v>211.74</v>
      </c>
      <c r="E95" s="1300">
        <v>215.05</v>
      </c>
      <c r="F95" s="1300">
        <v>218.36</v>
      </c>
      <c r="G95" s="1300">
        <v>221.68</v>
      </c>
      <c r="H95" s="1301">
        <v>224.99</v>
      </c>
      <c r="I95" s="1288">
        <v>228.3</v>
      </c>
      <c r="J95" s="1288">
        <v>231.61</v>
      </c>
      <c r="K95" s="1288">
        <v>234.93</v>
      </c>
      <c r="L95" s="1288">
        <v>238.24</v>
      </c>
      <c r="M95" s="1288">
        <v>241.55</v>
      </c>
      <c r="N95" s="1288">
        <v>244.86</v>
      </c>
      <c r="O95" s="1289">
        <v>248.18</v>
      </c>
      <c r="P95" s="1289">
        <v>251.49</v>
      </c>
      <c r="Q95" s="1289">
        <v>254.8</v>
      </c>
      <c r="R95" s="1289">
        <v>258.11</v>
      </c>
      <c r="S95" s="1289">
        <v>198.49</v>
      </c>
      <c r="T95" s="1289">
        <v>195.18</v>
      </c>
      <c r="U95" s="1289">
        <v>145.5</v>
      </c>
      <c r="V95" s="1289">
        <v>142.19</v>
      </c>
      <c r="W95" s="1289">
        <v>138.88</v>
      </c>
      <c r="X95" s="62">
        <v>91</v>
      </c>
      <c r="Y95" s="1296">
        <v>123.46</v>
      </c>
      <c r="Z95" s="1297">
        <v>125.8</v>
      </c>
      <c r="AA95" s="1298">
        <v>128.13999999999999</v>
      </c>
      <c r="AB95" s="1299">
        <v>130.47999999999999</v>
      </c>
      <c r="AC95" s="1300">
        <v>132.81</v>
      </c>
      <c r="AD95" s="1300">
        <v>135.15</v>
      </c>
      <c r="AE95" s="1285">
        <v>137.49</v>
      </c>
      <c r="AF95" s="1301">
        <v>139.83000000000001</v>
      </c>
      <c r="AG95" s="1288">
        <v>142.16999999999999</v>
      </c>
      <c r="AH95" s="1288">
        <v>144.51</v>
      </c>
      <c r="AI95" s="1288">
        <v>146.85</v>
      </c>
      <c r="AJ95" s="1288">
        <v>149.19</v>
      </c>
      <c r="AK95" s="1288">
        <v>151.52000000000001</v>
      </c>
      <c r="AL95" s="1288">
        <v>153.86000000000001</v>
      </c>
      <c r="AM95" s="1289">
        <v>156.19999999999999</v>
      </c>
      <c r="AN95" s="1289">
        <v>158.54</v>
      </c>
      <c r="AO95" s="1289">
        <v>160.88</v>
      </c>
      <c r="AP95" s="1289">
        <v>163.22</v>
      </c>
      <c r="AQ95" s="1289">
        <v>121.12</v>
      </c>
      <c r="AR95" s="1289">
        <v>118.78</v>
      </c>
      <c r="AS95" s="1289">
        <v>93.23</v>
      </c>
      <c r="AT95" s="1289">
        <v>90.89</v>
      </c>
      <c r="AU95" s="1289">
        <v>88.55</v>
      </c>
    </row>
    <row r="96" spans="1:47">
      <c r="A96" s="1296">
        <v>203.99</v>
      </c>
      <c r="B96" s="1297">
        <v>207.34</v>
      </c>
      <c r="C96" s="1298">
        <v>210.69</v>
      </c>
      <c r="D96" s="1299">
        <v>214.04</v>
      </c>
      <c r="E96" s="1300">
        <v>217.39</v>
      </c>
      <c r="F96" s="1300">
        <v>220.74</v>
      </c>
      <c r="G96" s="1300">
        <v>224.09</v>
      </c>
      <c r="H96" s="1301">
        <v>227.44</v>
      </c>
      <c r="I96" s="1288">
        <v>230.79</v>
      </c>
      <c r="J96" s="1288">
        <v>234.13</v>
      </c>
      <c r="K96" s="1288">
        <v>237.48</v>
      </c>
      <c r="L96" s="1288">
        <v>240.83</v>
      </c>
      <c r="M96" s="1288">
        <v>244.18</v>
      </c>
      <c r="N96" s="1288">
        <v>247.07</v>
      </c>
      <c r="O96" s="1289">
        <v>250.88</v>
      </c>
      <c r="P96" s="1289">
        <v>254.23</v>
      </c>
      <c r="Q96" s="1289">
        <v>257.58</v>
      </c>
      <c r="R96" s="1289">
        <v>260.92</v>
      </c>
      <c r="S96" s="1289">
        <v>200.65</v>
      </c>
      <c r="T96" s="1289">
        <v>197.3</v>
      </c>
      <c r="U96" s="1289">
        <v>147.09</v>
      </c>
      <c r="V96" s="1289">
        <v>143.74</v>
      </c>
      <c r="W96" s="1289">
        <v>140.38999999999999</v>
      </c>
      <c r="X96" s="62">
        <v>92</v>
      </c>
      <c r="Y96" s="1296">
        <v>124.77</v>
      </c>
      <c r="Z96" s="1297">
        <v>127.14</v>
      </c>
      <c r="AA96" s="1298">
        <v>129.5</v>
      </c>
      <c r="AB96" s="1299">
        <v>131.87</v>
      </c>
      <c r="AC96" s="1300">
        <v>134.22999999999999</v>
      </c>
      <c r="AD96" s="1300">
        <v>136.6</v>
      </c>
      <c r="AE96" s="1285">
        <v>138.96</v>
      </c>
      <c r="AF96" s="1301">
        <v>141.32</v>
      </c>
      <c r="AG96" s="1288">
        <v>143.69</v>
      </c>
      <c r="AH96" s="1288">
        <v>146.05000000000001</v>
      </c>
      <c r="AI96" s="1288">
        <v>148.41999999999999</v>
      </c>
      <c r="AJ96" s="1288">
        <v>150.78</v>
      </c>
      <c r="AK96" s="1288">
        <v>153.15</v>
      </c>
      <c r="AL96" s="1288">
        <v>155.51</v>
      </c>
      <c r="AM96" s="1289">
        <v>157.88</v>
      </c>
      <c r="AN96" s="1289">
        <v>160.24</v>
      </c>
      <c r="AO96" s="1289">
        <v>162.6</v>
      </c>
      <c r="AP96" s="1289">
        <v>164.97</v>
      </c>
      <c r="AQ96" s="1289">
        <v>122.41</v>
      </c>
      <c r="AR96" s="1289">
        <v>120.04</v>
      </c>
      <c r="AS96" s="1289">
        <v>94.23</v>
      </c>
      <c r="AT96" s="1289">
        <v>91.86</v>
      </c>
      <c r="AU96" s="1289">
        <v>89.5</v>
      </c>
    </row>
    <row r="97" spans="1:47">
      <c r="A97" s="1296">
        <v>206.2</v>
      </c>
      <c r="B97" s="1297">
        <v>209.58</v>
      </c>
      <c r="C97" s="1298">
        <v>212.97</v>
      </c>
      <c r="D97" s="1299">
        <v>216.35</v>
      </c>
      <c r="E97" s="1300">
        <v>219.74</v>
      </c>
      <c r="F97" s="1300">
        <v>223.12</v>
      </c>
      <c r="G97" s="1300">
        <v>226.51</v>
      </c>
      <c r="H97" s="1301">
        <v>229.89</v>
      </c>
      <c r="I97" s="1288">
        <v>233.28</v>
      </c>
      <c r="J97" s="1288">
        <v>236.66</v>
      </c>
      <c r="K97" s="1288">
        <v>240.05</v>
      </c>
      <c r="L97" s="1288">
        <v>243.43</v>
      </c>
      <c r="M97" s="1288">
        <v>246.82</v>
      </c>
      <c r="N97" s="1288">
        <v>250.2</v>
      </c>
      <c r="O97" s="1289">
        <v>253.59</v>
      </c>
      <c r="P97" s="1289">
        <v>256.97000000000003</v>
      </c>
      <c r="Q97" s="1289">
        <v>260.36</v>
      </c>
      <c r="R97" s="1289">
        <v>263.74</v>
      </c>
      <c r="S97" s="1289">
        <v>202.81</v>
      </c>
      <c r="T97" s="1289">
        <v>199.43</v>
      </c>
      <c r="U97" s="1289">
        <v>148.68</v>
      </c>
      <c r="V97" s="1289">
        <v>145.29</v>
      </c>
      <c r="W97" s="1289">
        <v>141.91</v>
      </c>
      <c r="X97" s="62">
        <v>93</v>
      </c>
      <c r="Y97" s="1296">
        <v>126.13</v>
      </c>
      <c r="Z97" s="1297">
        <v>128.52000000000001</v>
      </c>
      <c r="AA97" s="1298">
        <v>130.91</v>
      </c>
      <c r="AB97" s="1299">
        <v>133.30000000000001</v>
      </c>
      <c r="AC97" s="1300">
        <v>135.69</v>
      </c>
      <c r="AD97" s="1300">
        <v>138.08000000000001</v>
      </c>
      <c r="AE97" s="1285">
        <v>140.47</v>
      </c>
      <c r="AF97" s="1301">
        <v>142.86000000000001</v>
      </c>
      <c r="AG97" s="1288">
        <v>145.25</v>
      </c>
      <c r="AH97" s="1288">
        <v>147.63999999999999</v>
      </c>
      <c r="AI97" s="1288">
        <v>150.03</v>
      </c>
      <c r="AJ97" s="1288">
        <v>152.41999999999999</v>
      </c>
      <c r="AK97" s="1288">
        <v>154.81</v>
      </c>
      <c r="AL97" s="1288">
        <v>157.19999999999999</v>
      </c>
      <c r="AM97" s="1289">
        <v>159.59</v>
      </c>
      <c r="AN97" s="1289">
        <v>161.97999999999999</v>
      </c>
      <c r="AO97" s="1289">
        <v>164.37</v>
      </c>
      <c r="AP97" s="1289">
        <v>166.76</v>
      </c>
      <c r="AQ97" s="1289">
        <v>123.74</v>
      </c>
      <c r="AR97" s="1289">
        <v>121.35</v>
      </c>
      <c r="AS97" s="1289">
        <v>95.25</v>
      </c>
      <c r="AT97" s="1289">
        <v>92.86</v>
      </c>
      <c r="AU97" s="1289">
        <v>90.47</v>
      </c>
    </row>
    <row r="98" spans="1:47">
      <c r="A98" s="1296">
        <v>208.41</v>
      </c>
      <c r="B98" s="1297">
        <v>211.83</v>
      </c>
      <c r="C98" s="1298">
        <v>215.25</v>
      </c>
      <c r="D98" s="1299">
        <v>218.67</v>
      </c>
      <c r="E98" s="1300">
        <v>222.09</v>
      </c>
      <c r="F98" s="1300">
        <v>225.51</v>
      </c>
      <c r="G98" s="1300">
        <v>228.94</v>
      </c>
      <c r="H98" s="1301">
        <v>232.36</v>
      </c>
      <c r="I98" s="1288">
        <v>235.78</v>
      </c>
      <c r="J98" s="1288">
        <v>239.2</v>
      </c>
      <c r="K98" s="1288">
        <v>242.62</v>
      </c>
      <c r="L98" s="1288">
        <v>246.04</v>
      </c>
      <c r="M98" s="1288">
        <v>249.47</v>
      </c>
      <c r="N98" s="1288">
        <v>252.89</v>
      </c>
      <c r="O98" s="1289">
        <v>256.31</v>
      </c>
      <c r="P98" s="1289">
        <v>259.73</v>
      </c>
      <c r="Q98" s="1289">
        <v>263.14999999999998</v>
      </c>
      <c r="R98" s="1289">
        <v>266.57</v>
      </c>
      <c r="S98" s="1289">
        <v>204.99</v>
      </c>
      <c r="T98" s="1289">
        <v>201.56</v>
      </c>
      <c r="U98" s="1289">
        <v>150.27000000000001</v>
      </c>
      <c r="V98" s="1289">
        <v>146.85</v>
      </c>
      <c r="W98" s="1289">
        <v>143.43</v>
      </c>
      <c r="X98" s="62">
        <v>94</v>
      </c>
      <c r="Y98" s="1296">
        <v>127.49</v>
      </c>
      <c r="Z98" s="1297">
        <v>129.9</v>
      </c>
      <c r="AA98" s="1298">
        <v>132.32</v>
      </c>
      <c r="AB98" s="1299">
        <v>134.72999999999999</v>
      </c>
      <c r="AC98" s="1300">
        <v>137.15</v>
      </c>
      <c r="AD98" s="1300">
        <v>139.6</v>
      </c>
      <c r="AE98" s="1285">
        <v>141.97999999999999</v>
      </c>
      <c r="AF98" s="1301">
        <v>144.4</v>
      </c>
      <c r="AG98" s="1288">
        <v>146.81</v>
      </c>
      <c r="AH98" s="1288">
        <v>149.22999999999999</v>
      </c>
      <c r="AI98" s="1288">
        <v>151.63999999999999</v>
      </c>
      <c r="AJ98" s="1288">
        <v>154.06</v>
      </c>
      <c r="AK98" s="1288">
        <v>156.47999999999999</v>
      </c>
      <c r="AL98" s="1288">
        <v>158.88999999999999</v>
      </c>
      <c r="AM98" s="1289">
        <v>161.31</v>
      </c>
      <c r="AN98" s="1289">
        <v>163.72</v>
      </c>
      <c r="AO98" s="1289">
        <v>166.14</v>
      </c>
      <c r="AP98" s="1289">
        <v>168.55</v>
      </c>
      <c r="AQ98" s="1289">
        <v>125.07</v>
      </c>
      <c r="AR98" s="1289">
        <v>122.65</v>
      </c>
      <c r="AS98" s="1289">
        <v>96.28</v>
      </c>
      <c r="AT98" s="1289">
        <v>93.86</v>
      </c>
      <c r="AU98" s="1289">
        <v>91.44</v>
      </c>
    </row>
    <row r="99" spans="1:47">
      <c r="A99" s="1296">
        <v>210.47</v>
      </c>
      <c r="B99" s="1297">
        <v>213.93</v>
      </c>
      <c r="C99" s="1298">
        <v>217.39</v>
      </c>
      <c r="D99" s="1299">
        <v>220.85</v>
      </c>
      <c r="E99" s="1300">
        <v>224.31</v>
      </c>
      <c r="F99" s="1300">
        <v>227.76</v>
      </c>
      <c r="G99" s="1300">
        <v>231.22</v>
      </c>
      <c r="H99" s="1301">
        <v>234.68</v>
      </c>
      <c r="I99" s="1288">
        <v>238.14</v>
      </c>
      <c r="J99" s="1288">
        <v>241.6</v>
      </c>
      <c r="K99" s="1288">
        <v>245.05</v>
      </c>
      <c r="L99" s="1288">
        <v>248.51</v>
      </c>
      <c r="M99" s="1288">
        <v>251.97</v>
      </c>
      <c r="N99" s="1288">
        <v>255.43</v>
      </c>
      <c r="O99" s="1289">
        <v>258.89</v>
      </c>
      <c r="P99" s="1289">
        <v>262.33999999999997</v>
      </c>
      <c r="Q99" s="1289">
        <v>265.8</v>
      </c>
      <c r="R99" s="1289">
        <v>269.26</v>
      </c>
      <c r="S99" s="1289">
        <v>207.02</v>
      </c>
      <c r="T99" s="1289">
        <v>203.56</v>
      </c>
      <c r="U99" s="1289">
        <v>151.78</v>
      </c>
      <c r="V99" s="1289">
        <v>148.32</v>
      </c>
      <c r="W99" s="1289">
        <v>144.87</v>
      </c>
      <c r="X99" s="62">
        <v>95</v>
      </c>
      <c r="Y99" s="1296">
        <v>128.85</v>
      </c>
      <c r="Z99" s="1297">
        <v>131.29</v>
      </c>
      <c r="AA99" s="1298">
        <v>133.72999999999999</v>
      </c>
      <c r="AB99" s="1299">
        <v>136.16999999999999</v>
      </c>
      <c r="AC99" s="1300">
        <v>138.61000000000001</v>
      </c>
      <c r="AD99" s="1300">
        <v>141.05000000000001</v>
      </c>
      <c r="AE99" s="1285">
        <v>143.5</v>
      </c>
      <c r="AF99" s="1301">
        <v>145.94</v>
      </c>
      <c r="AG99" s="1288">
        <v>148.38</v>
      </c>
      <c r="AH99" s="1288">
        <v>150.82</v>
      </c>
      <c r="AI99" s="1288">
        <v>153.26</v>
      </c>
      <c r="AJ99" s="1288">
        <v>155.69999999999999</v>
      </c>
      <c r="AK99" s="1288">
        <v>158.13999999999999</v>
      </c>
      <c r="AL99" s="1288">
        <v>160.59</v>
      </c>
      <c r="AM99" s="1289">
        <v>163.03</v>
      </c>
      <c r="AN99" s="1289">
        <v>165.47</v>
      </c>
      <c r="AO99" s="1289">
        <v>167.91</v>
      </c>
      <c r="AP99" s="1289">
        <v>170.35</v>
      </c>
      <c r="AQ99" s="1289">
        <v>126.4</v>
      </c>
      <c r="AR99" s="1289">
        <v>123.96</v>
      </c>
      <c r="AS99" s="1289">
        <v>97.3</v>
      </c>
      <c r="AT99" s="1289">
        <v>94.86</v>
      </c>
      <c r="AU99" s="1289">
        <v>92.42</v>
      </c>
    </row>
    <row r="100" spans="1:47">
      <c r="A100" s="1296">
        <v>212.7</v>
      </c>
      <c r="B100" s="1297">
        <v>216.19</v>
      </c>
      <c r="C100" s="1298">
        <v>219.69</v>
      </c>
      <c r="D100" s="1299">
        <v>223.18</v>
      </c>
      <c r="E100" s="1300">
        <v>226.68</v>
      </c>
      <c r="F100" s="1300">
        <v>230.17</v>
      </c>
      <c r="G100" s="1300">
        <v>233.67</v>
      </c>
      <c r="H100" s="1301">
        <v>237.16</v>
      </c>
      <c r="I100" s="1288">
        <v>240.66</v>
      </c>
      <c r="J100" s="1288">
        <v>244.15</v>
      </c>
      <c r="K100" s="1288">
        <v>247.64</v>
      </c>
      <c r="L100" s="1288">
        <v>251.14</v>
      </c>
      <c r="M100" s="1288">
        <v>254.63</v>
      </c>
      <c r="N100" s="1288">
        <v>258.13</v>
      </c>
      <c r="O100" s="1289">
        <v>261.62</v>
      </c>
      <c r="P100" s="1289">
        <v>265.12</v>
      </c>
      <c r="Q100" s="1289">
        <v>268.61</v>
      </c>
      <c r="R100" s="1289">
        <v>272.11</v>
      </c>
      <c r="S100" s="1289">
        <v>209.21</v>
      </c>
      <c r="T100" s="1289">
        <v>205.71</v>
      </c>
      <c r="U100" s="1289">
        <v>153.38999999999999</v>
      </c>
      <c r="V100" s="1289">
        <v>149.88999999999999</v>
      </c>
      <c r="W100" s="1289">
        <v>146.4</v>
      </c>
      <c r="X100" s="62">
        <v>96</v>
      </c>
      <c r="Y100" s="1296">
        <v>130.21</v>
      </c>
      <c r="Z100" s="1297">
        <v>132.68</v>
      </c>
      <c r="AA100" s="1298">
        <v>135.13999999999999</v>
      </c>
      <c r="AB100" s="1299">
        <v>137.61000000000001</v>
      </c>
      <c r="AC100" s="1300">
        <v>140.08000000000001</v>
      </c>
      <c r="AD100" s="1300">
        <v>142.55000000000001</v>
      </c>
      <c r="AE100" s="1285">
        <v>145.01</v>
      </c>
      <c r="AF100" s="1301">
        <v>147.47999999999999</v>
      </c>
      <c r="AG100" s="1288">
        <v>149.94999999999999</v>
      </c>
      <c r="AH100" s="1288">
        <v>152.41</v>
      </c>
      <c r="AI100" s="1288">
        <v>154.88</v>
      </c>
      <c r="AJ100" s="1288">
        <v>157.35</v>
      </c>
      <c r="AK100" s="1288">
        <v>159.82</v>
      </c>
      <c r="AL100" s="1288">
        <v>162.28</v>
      </c>
      <c r="AM100" s="1289">
        <v>164.75</v>
      </c>
      <c r="AN100" s="1289">
        <v>167.22</v>
      </c>
      <c r="AO100" s="1289">
        <v>169.68</v>
      </c>
      <c r="AP100" s="1289">
        <v>172.15</v>
      </c>
      <c r="AQ100" s="1289">
        <v>127.74</v>
      </c>
      <c r="AR100" s="1289">
        <v>125.27</v>
      </c>
      <c r="AS100" s="1289">
        <v>98.33</v>
      </c>
      <c r="AT100" s="1289">
        <v>95.86</v>
      </c>
      <c r="AU100" s="1289">
        <v>93.4</v>
      </c>
    </row>
    <row r="101" spans="1:47">
      <c r="A101" s="1296">
        <v>214.94</v>
      </c>
      <c r="B101" s="1297">
        <v>218.47</v>
      </c>
      <c r="C101" s="1298">
        <v>222</v>
      </c>
      <c r="D101" s="1299">
        <v>225.53</v>
      </c>
      <c r="E101" s="1300">
        <v>229.06</v>
      </c>
      <c r="F101" s="1300">
        <v>232.59</v>
      </c>
      <c r="G101" s="1300">
        <v>236.12</v>
      </c>
      <c r="H101" s="1301">
        <v>239.65</v>
      </c>
      <c r="I101" s="1288">
        <v>243.18</v>
      </c>
      <c r="J101" s="1288">
        <v>246.71</v>
      </c>
      <c r="K101" s="1288">
        <v>250.25</v>
      </c>
      <c r="L101" s="1288">
        <v>253.78</v>
      </c>
      <c r="M101" s="1288">
        <v>257.31</v>
      </c>
      <c r="N101" s="1288">
        <v>260.83999999999997</v>
      </c>
      <c r="O101" s="1289">
        <v>264.37</v>
      </c>
      <c r="P101" s="1289">
        <v>267.89999999999998</v>
      </c>
      <c r="Q101" s="1289">
        <v>271.43</v>
      </c>
      <c r="R101" s="1289">
        <v>274.95999999999998</v>
      </c>
      <c r="S101" s="1289">
        <v>211.41</v>
      </c>
      <c r="T101" s="1289">
        <v>207.88</v>
      </c>
      <c r="U101" s="1289">
        <v>155</v>
      </c>
      <c r="V101" s="1289">
        <v>151.47</v>
      </c>
      <c r="W101" s="1289">
        <v>147.94</v>
      </c>
      <c r="X101" s="62">
        <v>97</v>
      </c>
      <c r="Y101" s="1296">
        <v>131.53</v>
      </c>
      <c r="Z101" s="1297">
        <v>134.02000000000001</v>
      </c>
      <c r="AA101" s="1298">
        <v>136.52000000000001</v>
      </c>
      <c r="AB101" s="1299">
        <v>139.01</v>
      </c>
      <c r="AC101" s="1300">
        <v>141.5</v>
      </c>
      <c r="AD101" s="1300">
        <v>144</v>
      </c>
      <c r="AE101" s="1285">
        <v>146.49</v>
      </c>
      <c r="AF101" s="1301">
        <v>148.97999999999999</v>
      </c>
      <c r="AG101" s="1288">
        <v>151.47</v>
      </c>
      <c r="AH101" s="1288">
        <v>153.97</v>
      </c>
      <c r="AI101" s="1288">
        <v>156.46</v>
      </c>
      <c r="AJ101" s="1288">
        <v>158.94999999999999</v>
      </c>
      <c r="AK101" s="1288">
        <v>161.44999999999999</v>
      </c>
      <c r="AL101" s="1288">
        <v>163.94</v>
      </c>
      <c r="AM101" s="1289">
        <v>166.43</v>
      </c>
      <c r="AN101" s="1289">
        <v>168.92</v>
      </c>
      <c r="AO101" s="1289">
        <v>171.42</v>
      </c>
      <c r="AP101" s="1289">
        <v>173.91</v>
      </c>
      <c r="AQ101" s="1289">
        <v>129.04</v>
      </c>
      <c r="AR101" s="1289">
        <v>126.55</v>
      </c>
      <c r="AS101" s="1289">
        <v>99.33</v>
      </c>
      <c r="AT101" s="1289">
        <v>96.84</v>
      </c>
      <c r="AU101" s="1289">
        <v>94.35</v>
      </c>
    </row>
    <row r="102" spans="1:47">
      <c r="A102" s="1296">
        <v>217.18</v>
      </c>
      <c r="B102" s="1297">
        <v>220.75</v>
      </c>
      <c r="C102" s="1298">
        <v>224.32</v>
      </c>
      <c r="D102" s="1299">
        <v>227.89</v>
      </c>
      <c r="E102" s="1300">
        <v>231.45</v>
      </c>
      <c r="F102" s="1300">
        <v>235.02</v>
      </c>
      <c r="G102" s="1300">
        <v>238.59</v>
      </c>
      <c r="H102" s="1301">
        <v>242.16</v>
      </c>
      <c r="I102" s="1288">
        <v>245.72</v>
      </c>
      <c r="J102" s="1288">
        <v>249.29</v>
      </c>
      <c r="K102" s="1288">
        <v>252.86</v>
      </c>
      <c r="L102" s="1288">
        <v>256.42</v>
      </c>
      <c r="M102" s="1288">
        <v>259.99</v>
      </c>
      <c r="N102" s="1288">
        <v>263.56</v>
      </c>
      <c r="O102" s="1289">
        <v>267.3</v>
      </c>
      <c r="P102" s="1289">
        <v>270.69</v>
      </c>
      <c r="Q102" s="1289">
        <v>274.26</v>
      </c>
      <c r="R102" s="1289">
        <v>277.83</v>
      </c>
      <c r="S102" s="1289">
        <v>213.62</v>
      </c>
      <c r="T102" s="1289">
        <v>210.05</v>
      </c>
      <c r="U102" s="1289">
        <v>156.61000000000001</v>
      </c>
      <c r="V102" s="1289">
        <v>153.05000000000001</v>
      </c>
      <c r="W102" s="1289">
        <v>149.47999999999999</v>
      </c>
      <c r="X102" s="62">
        <v>98</v>
      </c>
      <c r="Y102" s="1296">
        <v>132.9</v>
      </c>
      <c r="Z102" s="1297">
        <v>135.41999999999999</v>
      </c>
      <c r="AA102" s="1298">
        <v>137.94</v>
      </c>
      <c r="AB102" s="1299">
        <v>140.44999999999999</v>
      </c>
      <c r="AC102" s="1300">
        <v>142.97</v>
      </c>
      <c r="AD102" s="1300">
        <v>145.49</v>
      </c>
      <c r="AE102" s="1285">
        <v>148.01</v>
      </c>
      <c r="AF102" s="1301">
        <v>150.53</v>
      </c>
      <c r="AG102" s="1288">
        <v>153.05000000000001</v>
      </c>
      <c r="AH102" s="1288">
        <v>155.57</v>
      </c>
      <c r="AI102" s="1288">
        <v>158.09</v>
      </c>
      <c r="AJ102" s="1288">
        <v>160.6</v>
      </c>
      <c r="AK102" s="1288">
        <v>163.12</v>
      </c>
      <c r="AL102" s="1288">
        <v>165.64</v>
      </c>
      <c r="AM102" s="1289">
        <v>168.16</v>
      </c>
      <c r="AN102" s="1289">
        <v>170.68</v>
      </c>
      <c r="AO102" s="1289">
        <v>173.2</v>
      </c>
      <c r="AP102" s="1289">
        <v>175.72</v>
      </c>
      <c r="AQ102" s="1289">
        <v>130.38</v>
      </c>
      <c r="AR102" s="1289">
        <v>127.86</v>
      </c>
      <c r="AS102" s="1289">
        <v>100.37</v>
      </c>
      <c r="AT102" s="1289">
        <v>97.85</v>
      </c>
      <c r="AU102" s="1289">
        <v>95.33</v>
      </c>
    </row>
    <row r="103" spans="1:47">
      <c r="A103" s="1296">
        <v>219.44</v>
      </c>
      <c r="B103" s="1297">
        <v>223.05</v>
      </c>
      <c r="C103" s="1298">
        <v>226.65</v>
      </c>
      <c r="D103" s="1299">
        <v>230.25</v>
      </c>
      <c r="E103" s="1300">
        <v>233.86</v>
      </c>
      <c r="F103" s="1300">
        <v>237.46</v>
      </c>
      <c r="G103" s="1300">
        <v>241.06</v>
      </c>
      <c r="H103" s="1301">
        <v>244.67</v>
      </c>
      <c r="I103" s="1288">
        <v>248.27</v>
      </c>
      <c r="J103" s="1288">
        <v>251.88</v>
      </c>
      <c r="K103" s="1288">
        <v>255.48</v>
      </c>
      <c r="L103" s="1288">
        <v>259.08</v>
      </c>
      <c r="M103" s="1288">
        <v>262.69</v>
      </c>
      <c r="N103" s="1288">
        <v>266.29000000000002</v>
      </c>
      <c r="O103" s="1289">
        <v>269.89</v>
      </c>
      <c r="P103" s="1289">
        <v>273.5</v>
      </c>
      <c r="Q103" s="1289">
        <v>277.10000000000002</v>
      </c>
      <c r="R103" s="1289">
        <v>280.7</v>
      </c>
      <c r="S103" s="1289">
        <v>215.84</v>
      </c>
      <c r="T103" s="1289">
        <v>212.24</v>
      </c>
      <c r="U103" s="1289">
        <v>158.24</v>
      </c>
      <c r="V103" s="1289">
        <v>154.63</v>
      </c>
      <c r="W103" s="1289">
        <v>151.03</v>
      </c>
      <c r="X103" s="62">
        <v>99</v>
      </c>
      <c r="Y103" s="1296">
        <v>134.22</v>
      </c>
      <c r="Z103" s="1297">
        <v>136.77000000000001</v>
      </c>
      <c r="AA103" s="1298">
        <v>139.31</v>
      </c>
      <c r="AB103" s="1299">
        <v>141.86000000000001</v>
      </c>
      <c r="AC103" s="1300">
        <v>144.4</v>
      </c>
      <c r="AD103" s="1300">
        <v>146.94999999999999</v>
      </c>
      <c r="AE103" s="1285">
        <v>149.49</v>
      </c>
      <c r="AF103" s="1301">
        <v>152.03</v>
      </c>
      <c r="AG103" s="1288">
        <v>154.58000000000001</v>
      </c>
      <c r="AH103" s="1288">
        <v>157.12</v>
      </c>
      <c r="AI103" s="1288">
        <v>159.66999999999999</v>
      </c>
      <c r="AJ103" s="1288">
        <v>162.21</v>
      </c>
      <c r="AK103" s="1288">
        <v>164.76</v>
      </c>
      <c r="AL103" s="1288">
        <v>167.3</v>
      </c>
      <c r="AM103" s="1289">
        <v>169.84</v>
      </c>
      <c r="AN103" s="1289">
        <v>172.39</v>
      </c>
      <c r="AO103" s="1289">
        <v>174.93</v>
      </c>
      <c r="AP103" s="1289">
        <v>177.48</v>
      </c>
      <c r="AQ103" s="1289">
        <v>131.68</v>
      </c>
      <c r="AR103" s="1289">
        <v>129.13999999999999</v>
      </c>
      <c r="AS103" s="1289">
        <v>101.37</v>
      </c>
      <c r="AT103" s="1289">
        <v>98.83</v>
      </c>
      <c r="AU103" s="1289">
        <v>96.28</v>
      </c>
    </row>
    <row r="104" spans="1:47">
      <c r="A104" s="1296">
        <v>221.54</v>
      </c>
      <c r="B104" s="1297">
        <v>225.18</v>
      </c>
      <c r="C104" s="1298">
        <v>228.82</v>
      </c>
      <c r="D104" s="1299">
        <v>232.46</v>
      </c>
      <c r="E104" s="1300">
        <v>236.1</v>
      </c>
      <c r="F104" s="1300">
        <v>239.74</v>
      </c>
      <c r="G104" s="1300">
        <v>243.38</v>
      </c>
      <c r="H104" s="1301">
        <v>247.02</v>
      </c>
      <c r="I104" s="1288">
        <v>250.66</v>
      </c>
      <c r="J104" s="1288">
        <v>254.3</v>
      </c>
      <c r="K104" s="1288">
        <v>257.94</v>
      </c>
      <c r="L104" s="1288">
        <v>261.58</v>
      </c>
      <c r="M104" s="1288">
        <v>265.22000000000003</v>
      </c>
      <c r="N104" s="1288">
        <v>268.86</v>
      </c>
      <c r="O104" s="1289">
        <v>272.5</v>
      </c>
      <c r="P104" s="1289">
        <v>276.14</v>
      </c>
      <c r="Q104" s="1289">
        <v>279.77999999999997</v>
      </c>
      <c r="R104" s="1289">
        <v>283.42</v>
      </c>
      <c r="S104" s="1289">
        <v>217.9</v>
      </c>
      <c r="T104" s="1289">
        <v>214.26</v>
      </c>
      <c r="U104" s="1289">
        <v>159.77000000000001</v>
      </c>
      <c r="V104" s="1289">
        <v>156.13</v>
      </c>
      <c r="W104" s="1289">
        <v>152.49</v>
      </c>
      <c r="X104" s="62">
        <v>100</v>
      </c>
      <c r="Y104" s="1296">
        <v>135.6</v>
      </c>
      <c r="Z104" s="1297">
        <v>138.16999999999999</v>
      </c>
      <c r="AA104" s="1298">
        <v>140.74</v>
      </c>
      <c r="AB104" s="1299">
        <v>143.31</v>
      </c>
      <c r="AC104" s="1300">
        <v>145.88</v>
      </c>
      <c r="AD104" s="1300">
        <v>148.44999999999999</v>
      </c>
      <c r="AE104" s="1285">
        <v>151.02000000000001</v>
      </c>
      <c r="AF104" s="1301">
        <v>153.59</v>
      </c>
      <c r="AG104" s="1288">
        <v>156.16</v>
      </c>
      <c r="AH104" s="1288">
        <v>158.72999999999999</v>
      </c>
      <c r="AI104" s="1288">
        <v>161.30000000000001</v>
      </c>
      <c r="AJ104" s="1288">
        <v>163.87</v>
      </c>
      <c r="AK104" s="1288">
        <v>166.44</v>
      </c>
      <c r="AL104" s="1288">
        <v>169.01</v>
      </c>
      <c r="AM104" s="1289">
        <v>171.58</v>
      </c>
      <c r="AN104" s="1289">
        <v>174.15</v>
      </c>
      <c r="AO104" s="1289">
        <v>179.72</v>
      </c>
      <c r="AP104" s="1289">
        <v>179.29</v>
      </c>
      <c r="AQ104" s="1289">
        <v>133.03</v>
      </c>
      <c r="AR104" s="1289">
        <v>130.46</v>
      </c>
      <c r="AS104" s="1289">
        <v>102.41</v>
      </c>
      <c r="AT104" s="1289">
        <v>99.84</v>
      </c>
      <c r="AU104" s="1289">
        <v>97.27</v>
      </c>
    </row>
    <row r="105" spans="1:47">
      <c r="A105" s="1296">
        <v>223.82</v>
      </c>
      <c r="B105" s="1297">
        <v>227.5</v>
      </c>
      <c r="C105" s="1298">
        <v>231.17</v>
      </c>
      <c r="D105" s="1299">
        <v>234.85</v>
      </c>
      <c r="E105" s="1300">
        <v>238.53</v>
      </c>
      <c r="F105" s="1300">
        <v>242.2</v>
      </c>
      <c r="G105" s="1300">
        <v>245.88</v>
      </c>
      <c r="H105" s="1301">
        <v>249.55</v>
      </c>
      <c r="I105" s="1288">
        <v>253.23</v>
      </c>
      <c r="J105" s="1288">
        <v>256.91000000000003</v>
      </c>
      <c r="K105" s="1288">
        <v>260.58</v>
      </c>
      <c r="L105" s="1288">
        <v>264.26</v>
      </c>
      <c r="M105" s="1288">
        <v>267.94</v>
      </c>
      <c r="N105" s="1288">
        <v>271.61</v>
      </c>
      <c r="O105" s="1289">
        <v>275.29000000000002</v>
      </c>
      <c r="P105" s="1289">
        <v>278.97000000000003</v>
      </c>
      <c r="Q105" s="1289">
        <v>282.64</v>
      </c>
      <c r="R105" s="1289">
        <v>286.32</v>
      </c>
      <c r="S105" s="1289">
        <v>220.14</v>
      </c>
      <c r="T105" s="1289">
        <v>216.47</v>
      </c>
      <c r="U105" s="1289">
        <v>161.4</v>
      </c>
      <c r="V105" s="1289">
        <v>157.72</v>
      </c>
      <c r="W105" s="1289">
        <v>154.05000000000001</v>
      </c>
      <c r="X105" s="62">
        <v>101</v>
      </c>
      <c r="Y105" s="1296">
        <v>136.93</v>
      </c>
      <c r="Z105" s="1297">
        <v>139.52000000000001</v>
      </c>
      <c r="AA105" s="1298">
        <v>142.12</v>
      </c>
      <c r="AB105" s="1299">
        <v>144.71</v>
      </c>
      <c r="AC105" s="1300">
        <v>147.31</v>
      </c>
      <c r="AD105" s="1300">
        <v>149.91</v>
      </c>
      <c r="AE105" s="1285">
        <v>152.5</v>
      </c>
      <c r="AF105" s="1301">
        <v>155.1</v>
      </c>
      <c r="AG105" s="1288">
        <v>157.69</v>
      </c>
      <c r="AH105" s="1288">
        <v>160.29</v>
      </c>
      <c r="AI105" s="1288">
        <v>162.88</v>
      </c>
      <c r="AJ105" s="1288">
        <v>165.48</v>
      </c>
      <c r="AK105" s="1288">
        <v>168.07</v>
      </c>
      <c r="AL105" s="1288">
        <v>170.67</v>
      </c>
      <c r="AM105" s="1289">
        <v>173.27</v>
      </c>
      <c r="AN105" s="1289">
        <v>175.86</v>
      </c>
      <c r="AO105" s="1289">
        <v>178.46</v>
      </c>
      <c r="AP105" s="1289">
        <v>181.05</v>
      </c>
      <c r="AQ105" s="1289">
        <v>134.33000000000001</v>
      </c>
      <c r="AR105" s="1289">
        <v>131.74</v>
      </c>
      <c r="AS105" s="1289">
        <v>103.41</v>
      </c>
      <c r="AT105" s="1289">
        <v>100.82</v>
      </c>
      <c r="AU105" s="1289">
        <v>98.22</v>
      </c>
    </row>
    <row r="106" spans="1:47">
      <c r="A106" s="1296">
        <v>225.93</v>
      </c>
      <c r="B106" s="1297">
        <v>229.64</v>
      </c>
      <c r="C106" s="1298">
        <v>233.36</v>
      </c>
      <c r="D106" s="1299">
        <v>237.07</v>
      </c>
      <c r="E106" s="1300">
        <v>240.78</v>
      </c>
      <c r="F106" s="1300">
        <v>244.5</v>
      </c>
      <c r="G106" s="1300">
        <v>248.21</v>
      </c>
      <c r="H106" s="1301">
        <v>251.92</v>
      </c>
      <c r="I106" s="1288">
        <v>255.63</v>
      </c>
      <c r="J106" s="1288">
        <v>259.35000000000002</v>
      </c>
      <c r="K106" s="1288">
        <v>263.06</v>
      </c>
      <c r="L106" s="1288">
        <v>266.77</v>
      </c>
      <c r="M106" s="1288">
        <v>270.49</v>
      </c>
      <c r="N106" s="1288">
        <v>274.2</v>
      </c>
      <c r="O106" s="1289">
        <v>277.91000000000003</v>
      </c>
      <c r="P106" s="1289">
        <v>281.62</v>
      </c>
      <c r="Q106" s="1289">
        <v>285.33999999999997</v>
      </c>
      <c r="R106" s="1289">
        <v>289.05</v>
      </c>
      <c r="S106" s="1289">
        <v>222.22</v>
      </c>
      <c r="T106" s="1289">
        <v>218.51</v>
      </c>
      <c r="U106" s="1289">
        <v>162.94</v>
      </c>
      <c r="V106" s="1289">
        <v>159.22</v>
      </c>
      <c r="W106" s="1289">
        <v>155.51</v>
      </c>
      <c r="X106" s="62">
        <v>102</v>
      </c>
      <c r="Y106" s="1296">
        <v>138.30000000000001</v>
      </c>
      <c r="Z106" s="1297">
        <v>140.93</v>
      </c>
      <c r="AA106" s="1298">
        <v>143.55000000000001</v>
      </c>
      <c r="AB106" s="1299">
        <v>146.16999999999999</v>
      </c>
      <c r="AC106" s="1300">
        <v>148.79</v>
      </c>
      <c r="AD106" s="1300">
        <v>151.41</v>
      </c>
      <c r="AE106" s="1285">
        <v>154.03</v>
      </c>
      <c r="AF106" s="1301">
        <v>156.65</v>
      </c>
      <c r="AG106" s="1288">
        <v>159.28</v>
      </c>
      <c r="AH106" s="1288">
        <v>161.9</v>
      </c>
      <c r="AI106" s="1288">
        <v>164.52</v>
      </c>
      <c r="AJ106" s="1288">
        <v>167.14</v>
      </c>
      <c r="AK106" s="1288">
        <v>169.76</v>
      </c>
      <c r="AL106" s="1288">
        <v>172.38</v>
      </c>
      <c r="AM106" s="1289">
        <v>175</v>
      </c>
      <c r="AN106" s="1289">
        <v>177.63</v>
      </c>
      <c r="AO106" s="1289">
        <v>180.25</v>
      </c>
      <c r="AP106" s="1289">
        <v>182.87</v>
      </c>
      <c r="AQ106" s="1289">
        <v>135.68</v>
      </c>
      <c r="AR106" s="1289">
        <v>133.06</v>
      </c>
      <c r="AS106" s="1289">
        <v>104.45</v>
      </c>
      <c r="AT106" s="1289">
        <v>101.83</v>
      </c>
      <c r="AU106" s="1289">
        <v>99.21</v>
      </c>
    </row>
    <row r="107" spans="1:47">
      <c r="A107" s="1296">
        <v>228.23</v>
      </c>
      <c r="B107" s="1297">
        <v>231.98</v>
      </c>
      <c r="C107" s="1298">
        <v>235.73</v>
      </c>
      <c r="D107" s="1299">
        <v>239.48</v>
      </c>
      <c r="E107" s="1300">
        <v>243.23</v>
      </c>
      <c r="F107" s="1300">
        <v>246.98</v>
      </c>
      <c r="G107" s="1300">
        <v>250.72</v>
      </c>
      <c r="H107" s="1301">
        <v>254.47</v>
      </c>
      <c r="I107" s="1288">
        <v>258.22000000000003</v>
      </c>
      <c r="J107" s="1288">
        <v>261.97000000000003</v>
      </c>
      <c r="K107" s="1288">
        <v>265.72000000000003</v>
      </c>
      <c r="L107" s="1288">
        <v>269.47000000000003</v>
      </c>
      <c r="M107" s="1288">
        <v>273.22000000000003</v>
      </c>
      <c r="N107" s="1288">
        <v>276.97000000000003</v>
      </c>
      <c r="O107" s="1289">
        <v>280.72000000000003</v>
      </c>
      <c r="P107" s="1289">
        <v>284.47000000000003</v>
      </c>
      <c r="Q107" s="1289">
        <v>288.22000000000003</v>
      </c>
      <c r="R107" s="1289">
        <v>291.97000000000003</v>
      </c>
      <c r="S107" s="1289">
        <v>224.48</v>
      </c>
      <c r="T107" s="1289">
        <v>220.73</v>
      </c>
      <c r="U107" s="1289">
        <v>164.58</v>
      </c>
      <c r="V107" s="1289">
        <v>160.83000000000001</v>
      </c>
      <c r="W107" s="1289">
        <v>157.08000000000001</v>
      </c>
      <c r="X107" s="62">
        <v>103</v>
      </c>
      <c r="Y107" s="1296">
        <v>139.63999999999999</v>
      </c>
      <c r="Z107" s="1297">
        <v>142.28</v>
      </c>
      <c r="AA107" s="1298">
        <v>144.94999999999999</v>
      </c>
      <c r="AB107" s="1299">
        <v>147.58000000000001</v>
      </c>
      <c r="AC107" s="1300">
        <v>15.23</v>
      </c>
      <c r="AD107" s="1300">
        <v>152.87</v>
      </c>
      <c r="AE107" s="1285">
        <v>155.52000000000001</v>
      </c>
      <c r="AF107" s="1301">
        <v>158.16999999999999</v>
      </c>
      <c r="AG107" s="1288">
        <v>160.81</v>
      </c>
      <c r="AH107" s="1288">
        <v>163.46</v>
      </c>
      <c r="AI107" s="1288">
        <v>166.11</v>
      </c>
      <c r="AJ107" s="1288">
        <v>168.76</v>
      </c>
      <c r="AK107" s="1288">
        <v>171.4</v>
      </c>
      <c r="AL107" s="1288">
        <v>174.05</v>
      </c>
      <c r="AM107" s="1289">
        <v>176.7</v>
      </c>
      <c r="AN107" s="1289">
        <v>179.34</v>
      </c>
      <c r="AO107" s="1289">
        <v>181.99</v>
      </c>
      <c r="AP107" s="1289">
        <v>184.64</v>
      </c>
      <c r="AQ107" s="1289">
        <v>136.99</v>
      </c>
      <c r="AR107" s="1289">
        <v>134.34</v>
      </c>
      <c r="AS107" s="1289">
        <v>105.46</v>
      </c>
      <c r="AT107" s="1289">
        <v>102.81</v>
      </c>
      <c r="AU107" s="1289">
        <v>100.17</v>
      </c>
    </row>
    <row r="108" spans="1:47">
      <c r="A108" s="1296">
        <v>230.35</v>
      </c>
      <c r="B108" s="1297">
        <v>234.14</v>
      </c>
      <c r="C108" s="1298">
        <v>237.93</v>
      </c>
      <c r="D108" s="1299">
        <v>241.71</v>
      </c>
      <c r="E108" s="1300">
        <v>245.5</v>
      </c>
      <c r="F108" s="1300">
        <v>249.28</v>
      </c>
      <c r="G108" s="1300">
        <v>253.07</v>
      </c>
      <c r="H108" s="1301">
        <v>256.85000000000002</v>
      </c>
      <c r="I108" s="1288">
        <v>260.64</v>
      </c>
      <c r="J108" s="1288">
        <v>264.43</v>
      </c>
      <c r="K108" s="1288">
        <v>268.20999999999998</v>
      </c>
      <c r="L108" s="1288">
        <v>272</v>
      </c>
      <c r="M108" s="1288">
        <v>275.77999999999997</v>
      </c>
      <c r="N108" s="1288">
        <v>279.57</v>
      </c>
      <c r="O108" s="1289">
        <v>283.35000000000002</v>
      </c>
      <c r="P108" s="1289">
        <v>287.14</v>
      </c>
      <c r="Q108" s="1289">
        <v>290.92</v>
      </c>
      <c r="R108" s="1289">
        <v>294.70999999999998</v>
      </c>
      <c r="S108" s="1289">
        <v>226.57</v>
      </c>
      <c r="T108" s="1289">
        <v>222.78</v>
      </c>
      <c r="U108" s="1289">
        <v>166.13</v>
      </c>
      <c r="V108" s="1289">
        <v>162.34</v>
      </c>
      <c r="W108" s="1289">
        <v>158.56</v>
      </c>
      <c r="X108" s="62">
        <v>104</v>
      </c>
      <c r="Y108" s="1296">
        <v>140.97</v>
      </c>
      <c r="Z108" s="1297">
        <v>143.63999999999999</v>
      </c>
      <c r="AA108" s="1298">
        <v>146.32</v>
      </c>
      <c r="AB108" s="1299">
        <v>148.99</v>
      </c>
      <c r="AC108" s="1300">
        <v>151.66</v>
      </c>
      <c r="AD108" s="1300">
        <v>154.34</v>
      </c>
      <c r="AE108" s="1285">
        <v>157.01</v>
      </c>
      <c r="AF108" s="1301">
        <v>159.68</v>
      </c>
      <c r="AG108" s="1288">
        <v>162.35</v>
      </c>
      <c r="AH108" s="1288">
        <v>165.03</v>
      </c>
      <c r="AI108" s="1288">
        <v>167.7</v>
      </c>
      <c r="AJ108" s="1288">
        <v>170.37</v>
      </c>
      <c r="AK108" s="1288">
        <v>173.05</v>
      </c>
      <c r="AL108" s="1288">
        <v>175.72</v>
      </c>
      <c r="AM108" s="1289">
        <v>178.39</v>
      </c>
      <c r="AN108" s="1289">
        <v>181.06</v>
      </c>
      <c r="AO108" s="1289">
        <v>183.74</v>
      </c>
      <c r="AP108" s="1289">
        <v>186.41</v>
      </c>
      <c r="AQ108" s="1289">
        <v>138.30000000000001</v>
      </c>
      <c r="AR108" s="1289">
        <v>135.63</v>
      </c>
      <c r="AS108" s="1289">
        <v>106.47</v>
      </c>
      <c r="AT108" s="1289">
        <v>103.8</v>
      </c>
      <c r="AU108" s="1289">
        <v>101.12</v>
      </c>
    </row>
    <row r="109" spans="1:47">
      <c r="A109" s="1296">
        <v>232.67</v>
      </c>
      <c r="B109" s="1297">
        <v>236.5</v>
      </c>
      <c r="C109" s="1298">
        <v>240.32</v>
      </c>
      <c r="D109" s="1299">
        <v>244.14</v>
      </c>
      <c r="E109" s="1300">
        <v>247.96</v>
      </c>
      <c r="F109" s="1300">
        <v>251.78</v>
      </c>
      <c r="G109" s="1300">
        <v>255.61</v>
      </c>
      <c r="H109" s="1301">
        <v>259.43</v>
      </c>
      <c r="I109" s="1288">
        <v>263.25</v>
      </c>
      <c r="J109" s="1288">
        <v>267.07</v>
      </c>
      <c r="K109" s="1288">
        <v>270.89</v>
      </c>
      <c r="L109" s="1288">
        <v>274.72000000000003</v>
      </c>
      <c r="M109" s="1288">
        <v>278.54000000000002</v>
      </c>
      <c r="N109" s="1288">
        <v>282.36</v>
      </c>
      <c r="O109" s="1289">
        <v>286.18</v>
      </c>
      <c r="P109" s="1289">
        <v>290</v>
      </c>
      <c r="Q109" s="1289">
        <v>293.83</v>
      </c>
      <c r="R109" s="1289">
        <v>297.64999999999998</v>
      </c>
      <c r="S109" s="1289">
        <v>228.85</v>
      </c>
      <c r="T109" s="1289">
        <v>225.03</v>
      </c>
      <c r="U109" s="1289">
        <v>167.79</v>
      </c>
      <c r="V109" s="1289">
        <v>163.96</v>
      </c>
      <c r="W109" s="1289">
        <v>160.13999999999999</v>
      </c>
      <c r="X109" s="62">
        <v>105</v>
      </c>
      <c r="Y109" s="1296">
        <v>142.36000000000001</v>
      </c>
      <c r="Z109" s="1297">
        <v>145.06</v>
      </c>
      <c r="AA109" s="1298">
        <v>147.76</v>
      </c>
      <c r="AB109" s="1299">
        <v>150.44999999999999</v>
      </c>
      <c r="AC109" s="1300">
        <v>153.15</v>
      </c>
      <c r="AD109" s="1300">
        <v>155.85</v>
      </c>
      <c r="AE109" s="1285">
        <v>158.55000000000001</v>
      </c>
      <c r="AF109" s="1301">
        <v>161.25</v>
      </c>
      <c r="AG109" s="1288">
        <v>163.95</v>
      </c>
      <c r="AH109" s="1288">
        <v>166.64</v>
      </c>
      <c r="AI109" s="1288">
        <v>169.34</v>
      </c>
      <c r="AJ109" s="1288">
        <v>172.04</v>
      </c>
      <c r="AK109" s="1288">
        <v>174.74</v>
      </c>
      <c r="AL109" s="1288">
        <v>177.44</v>
      </c>
      <c r="AM109" s="1289">
        <v>180.14</v>
      </c>
      <c r="AN109" s="1289">
        <v>182.84</v>
      </c>
      <c r="AO109" s="1289">
        <v>185.53</v>
      </c>
      <c r="AP109" s="1289">
        <v>188.23</v>
      </c>
      <c r="AQ109" s="1289">
        <v>139.66</v>
      </c>
      <c r="AR109" s="1289">
        <v>136.96</v>
      </c>
      <c r="AS109" s="1289">
        <v>107.51</v>
      </c>
      <c r="AT109" s="1289">
        <v>104.8</v>
      </c>
      <c r="AU109" s="1289">
        <v>102.12</v>
      </c>
    </row>
    <row r="110" spans="1:47">
      <c r="A110" s="1296">
        <v>234.81</v>
      </c>
      <c r="B110" s="1297">
        <v>238.67</v>
      </c>
      <c r="C110" s="1298">
        <v>242.53</v>
      </c>
      <c r="D110" s="1299">
        <v>246.39</v>
      </c>
      <c r="E110" s="1300">
        <v>250.25</v>
      </c>
      <c r="F110" s="1300">
        <v>254.11</v>
      </c>
      <c r="G110" s="1300">
        <v>257.95999999999998</v>
      </c>
      <c r="H110" s="1301">
        <v>261.82</v>
      </c>
      <c r="I110" s="1288">
        <v>265.68</v>
      </c>
      <c r="J110" s="1288">
        <v>269.54000000000002</v>
      </c>
      <c r="K110" s="1288">
        <v>273.39999999999998</v>
      </c>
      <c r="L110" s="1288">
        <v>277.26</v>
      </c>
      <c r="M110" s="1288">
        <v>281.11</v>
      </c>
      <c r="N110" s="1288">
        <v>284.97000000000003</v>
      </c>
      <c r="O110" s="1289">
        <v>288.83</v>
      </c>
      <c r="P110" s="1289">
        <v>292.69</v>
      </c>
      <c r="Q110" s="1289">
        <v>296.55</v>
      </c>
      <c r="R110" s="1289">
        <v>300.41000000000003</v>
      </c>
      <c r="S110" s="1289">
        <v>230.96</v>
      </c>
      <c r="T110" s="1289">
        <v>227.1</v>
      </c>
      <c r="U110" s="1289">
        <v>169.34</v>
      </c>
      <c r="V110" s="1289">
        <v>165.48</v>
      </c>
      <c r="W110" s="1289">
        <v>161.62</v>
      </c>
      <c r="X110" s="62">
        <v>106</v>
      </c>
      <c r="Y110" s="1296">
        <v>143.69999999999999</v>
      </c>
      <c r="Z110" s="1297">
        <v>146.41999999999999</v>
      </c>
      <c r="AA110" s="1298">
        <v>149.13999999999999</v>
      </c>
      <c r="AB110" s="1299">
        <v>151.87</v>
      </c>
      <c r="AC110" s="1300">
        <v>154.59</v>
      </c>
      <c r="AD110" s="1300">
        <v>157.32</v>
      </c>
      <c r="AE110" s="1285">
        <v>160.04</v>
      </c>
      <c r="AF110" s="1301">
        <v>162.77000000000001</v>
      </c>
      <c r="AG110" s="1288">
        <v>165.49</v>
      </c>
      <c r="AH110" s="1288">
        <v>168.21</v>
      </c>
      <c r="AI110" s="1288">
        <v>170.94</v>
      </c>
      <c r="AJ110" s="1288">
        <v>173.66</v>
      </c>
      <c r="AK110" s="1288">
        <v>176.39</v>
      </c>
      <c r="AL110" s="1288">
        <v>179.11</v>
      </c>
      <c r="AM110" s="1289">
        <v>181.84</v>
      </c>
      <c r="AN110" s="1289">
        <v>184.56</v>
      </c>
      <c r="AO110" s="1289">
        <v>187.28</v>
      </c>
      <c r="AP110" s="1289">
        <v>190.01</v>
      </c>
      <c r="AQ110" s="1289">
        <v>140.97</v>
      </c>
      <c r="AR110" s="1289">
        <v>138.25</v>
      </c>
      <c r="AS110" s="1289">
        <v>108.53</v>
      </c>
      <c r="AT110" s="1289">
        <v>105.8</v>
      </c>
      <c r="AU110" s="1289">
        <v>103.08</v>
      </c>
    </row>
    <row r="111" spans="1:47">
      <c r="A111" s="1296">
        <v>236.96</v>
      </c>
      <c r="B111" s="1297">
        <v>240.85</v>
      </c>
      <c r="C111" s="1298">
        <v>244.75</v>
      </c>
      <c r="D111" s="1299">
        <v>248.64</v>
      </c>
      <c r="E111" s="1300">
        <v>252.54</v>
      </c>
      <c r="F111" s="1300">
        <v>256.43</v>
      </c>
      <c r="G111" s="1300">
        <v>260.33</v>
      </c>
      <c r="H111" s="1301">
        <v>264.22000000000003</v>
      </c>
      <c r="I111" s="1288">
        <v>268.12</v>
      </c>
      <c r="J111" s="1288">
        <v>272.01</v>
      </c>
      <c r="K111" s="1288">
        <v>275.91000000000003</v>
      </c>
      <c r="L111" s="1288">
        <v>279.8</v>
      </c>
      <c r="M111" s="1288">
        <v>283.7</v>
      </c>
      <c r="N111" s="1288">
        <v>287.58999999999997</v>
      </c>
      <c r="O111" s="1289">
        <v>291.49</v>
      </c>
      <c r="P111" s="1289">
        <v>295.33999999999997</v>
      </c>
      <c r="Q111" s="1289">
        <v>299.27999999999997</v>
      </c>
      <c r="R111" s="1289">
        <v>303.17</v>
      </c>
      <c r="S111" s="1289">
        <v>233.06</v>
      </c>
      <c r="T111" s="1289">
        <v>229.17</v>
      </c>
      <c r="U111" s="1289">
        <v>170.9</v>
      </c>
      <c r="V111" s="1289">
        <v>167</v>
      </c>
      <c r="W111" s="1289">
        <v>163.11000000000001</v>
      </c>
      <c r="X111" s="62">
        <v>107</v>
      </c>
      <c r="Y111" s="1296">
        <v>145.04</v>
      </c>
      <c r="Z111" s="1297">
        <v>147.79</v>
      </c>
      <c r="AA111" s="1298">
        <v>150.54</v>
      </c>
      <c r="AB111" s="1299">
        <v>153.29</v>
      </c>
      <c r="AC111" s="1300">
        <v>156.04</v>
      </c>
      <c r="AD111" s="1300">
        <v>158.79</v>
      </c>
      <c r="AE111" s="1285">
        <v>161.54</v>
      </c>
      <c r="AF111" s="1301">
        <v>164.29</v>
      </c>
      <c r="AG111" s="1288">
        <v>167.04</v>
      </c>
      <c r="AH111" s="1288">
        <v>169.79</v>
      </c>
      <c r="AI111" s="1288">
        <v>172.54</v>
      </c>
      <c r="AJ111" s="1288">
        <v>175.29</v>
      </c>
      <c r="AK111" s="1288">
        <v>178.04</v>
      </c>
      <c r="AL111" s="1288">
        <v>180.79</v>
      </c>
      <c r="AM111" s="1289">
        <v>183.53</v>
      </c>
      <c r="AN111" s="1289">
        <v>186.28</v>
      </c>
      <c r="AO111" s="1289">
        <v>189.03</v>
      </c>
      <c r="AP111" s="1289">
        <v>191.78</v>
      </c>
      <c r="AQ111" s="1289">
        <v>142.29</v>
      </c>
      <c r="AR111" s="1289">
        <v>139.54</v>
      </c>
      <c r="AS111" s="1289">
        <v>109.54</v>
      </c>
      <c r="AT111" s="1289">
        <v>106.79</v>
      </c>
      <c r="AU111" s="1289">
        <v>104.04</v>
      </c>
    </row>
    <row r="112" spans="1:47">
      <c r="A112" s="1296">
        <v>239.11</v>
      </c>
      <c r="B112" s="1297">
        <v>243.04</v>
      </c>
      <c r="C112" s="1298">
        <v>246.97</v>
      </c>
      <c r="D112" s="1299">
        <v>250.91</v>
      </c>
      <c r="E112" s="1300">
        <v>254.85</v>
      </c>
      <c r="F112" s="1300">
        <v>258.77</v>
      </c>
      <c r="G112" s="1300">
        <v>262.7</v>
      </c>
      <c r="H112" s="1301">
        <v>266.63</v>
      </c>
      <c r="I112" s="1288">
        <v>270.56</v>
      </c>
      <c r="J112" s="1288">
        <v>274.49</v>
      </c>
      <c r="K112" s="1288">
        <v>278.42</v>
      </c>
      <c r="L112" s="1288">
        <v>282.36</v>
      </c>
      <c r="M112" s="1288">
        <v>286.29000000000002</v>
      </c>
      <c r="N112" s="1288">
        <v>290.22000000000003</v>
      </c>
      <c r="O112" s="1289">
        <v>294.14999999999998</v>
      </c>
      <c r="P112" s="1289">
        <v>298.08</v>
      </c>
      <c r="Q112" s="1289">
        <v>302.01</v>
      </c>
      <c r="R112" s="1289">
        <v>305.94</v>
      </c>
      <c r="S112" s="1289">
        <v>235.18</v>
      </c>
      <c r="T112" s="1289">
        <v>231.25</v>
      </c>
      <c r="U112" s="1289">
        <v>172.46</v>
      </c>
      <c r="V112" s="1289">
        <v>168.53</v>
      </c>
      <c r="W112" s="1289">
        <v>164.6</v>
      </c>
      <c r="X112" s="62">
        <v>108</v>
      </c>
      <c r="Y112" s="1296">
        <v>146.38</v>
      </c>
      <c r="Z112" s="1297">
        <v>149.15</v>
      </c>
      <c r="AA112" s="1298">
        <v>151.93</v>
      </c>
      <c r="AB112" s="1299">
        <v>154.69999999999999</v>
      </c>
      <c r="AC112" s="1300">
        <v>157.47999999999999</v>
      </c>
      <c r="AD112" s="1300">
        <v>160.26</v>
      </c>
      <c r="AE112" s="1285">
        <v>163.03</v>
      </c>
      <c r="AF112" s="1301">
        <v>165.81</v>
      </c>
      <c r="AG112" s="1288">
        <v>168.58</v>
      </c>
      <c r="AH112" s="1288">
        <v>171.36</v>
      </c>
      <c r="AI112" s="1288">
        <v>174.13</v>
      </c>
      <c r="AJ112" s="1288">
        <v>176.91</v>
      </c>
      <c r="AK112" s="1288">
        <v>179.69</v>
      </c>
      <c r="AL112" s="1288">
        <v>182.46</v>
      </c>
      <c r="AM112" s="1289">
        <v>185.24</v>
      </c>
      <c r="AN112" s="1289">
        <v>188.01</v>
      </c>
      <c r="AO112" s="1289">
        <v>190.79</v>
      </c>
      <c r="AP112" s="1289">
        <v>193.56</v>
      </c>
      <c r="AQ112" s="1289">
        <v>143.6</v>
      </c>
      <c r="AR112" s="1289">
        <v>140.83000000000001</v>
      </c>
      <c r="AS112" s="1289">
        <v>110.56</v>
      </c>
      <c r="AT112" s="1289">
        <v>107.78</v>
      </c>
      <c r="AU112" s="1289">
        <v>105</v>
      </c>
    </row>
    <row r="113" spans="1:47">
      <c r="A113" s="1296">
        <v>241.47</v>
      </c>
      <c r="B113" s="1297">
        <v>245.44</v>
      </c>
      <c r="C113" s="1298">
        <v>249.41</v>
      </c>
      <c r="D113" s="1299">
        <v>253.37</v>
      </c>
      <c r="E113" s="1300">
        <v>257.33999999999997</v>
      </c>
      <c r="F113" s="1300">
        <v>261.31</v>
      </c>
      <c r="G113" s="1300">
        <v>265.27999999999997</v>
      </c>
      <c r="H113" s="1301">
        <v>269.25</v>
      </c>
      <c r="I113" s="1288">
        <v>273.20999999999998</v>
      </c>
      <c r="J113" s="1288">
        <v>277.18</v>
      </c>
      <c r="K113" s="1288">
        <v>281.14999999999998</v>
      </c>
      <c r="L113" s="1288">
        <v>285.12</v>
      </c>
      <c r="M113" s="1288">
        <v>289.08</v>
      </c>
      <c r="N113" s="1288">
        <v>293.05</v>
      </c>
      <c r="O113" s="1289">
        <v>297.02</v>
      </c>
      <c r="P113" s="1289">
        <v>300.99</v>
      </c>
      <c r="Q113" s="1289">
        <v>304.95</v>
      </c>
      <c r="R113" s="1289">
        <v>308.92</v>
      </c>
      <c r="S113" s="1289">
        <v>237.5</v>
      </c>
      <c r="T113" s="1289">
        <v>233.54</v>
      </c>
      <c r="U113" s="1289">
        <v>174.14</v>
      </c>
      <c r="V113" s="1289">
        <v>170.17</v>
      </c>
      <c r="W113" s="1289">
        <v>166.2</v>
      </c>
      <c r="X113" s="62">
        <v>109</v>
      </c>
      <c r="Y113" s="1296">
        <v>147.72</v>
      </c>
      <c r="Z113" s="1297">
        <v>150.52000000000001</v>
      </c>
      <c r="AA113" s="1298">
        <v>153.32</v>
      </c>
      <c r="AB113" s="1299">
        <v>156.13</v>
      </c>
      <c r="AC113" s="1300">
        <v>158.93</v>
      </c>
      <c r="AD113" s="1300">
        <v>161.72999999999999</v>
      </c>
      <c r="AE113" s="1285">
        <v>164.53</v>
      </c>
      <c r="AF113" s="1301">
        <v>167.33</v>
      </c>
      <c r="AG113" s="1288">
        <v>170.13</v>
      </c>
      <c r="AH113" s="1288">
        <v>172.93</v>
      </c>
      <c r="AI113" s="1288">
        <v>175.73</v>
      </c>
      <c r="AJ113" s="1288">
        <v>178.54</v>
      </c>
      <c r="AK113" s="1288">
        <v>181.34</v>
      </c>
      <c r="AL113" s="1288">
        <v>184.14</v>
      </c>
      <c r="AM113" s="1289">
        <v>186.94</v>
      </c>
      <c r="AN113" s="1289">
        <v>189.74</v>
      </c>
      <c r="AO113" s="1289">
        <v>192.54</v>
      </c>
      <c r="AP113" s="1289">
        <v>195.34</v>
      </c>
      <c r="AQ113" s="1289">
        <v>144.91999999999999</v>
      </c>
      <c r="AR113" s="1289">
        <v>142.12</v>
      </c>
      <c r="AS113" s="1289">
        <v>111.57</v>
      </c>
      <c r="AT113" s="1289">
        <v>108.77</v>
      </c>
      <c r="AU113" s="1289">
        <v>105.97</v>
      </c>
    </row>
    <row r="114" spans="1:47">
      <c r="A114" s="1296">
        <v>243.66399999999999</v>
      </c>
      <c r="B114" s="1297">
        <v>247.64</v>
      </c>
      <c r="C114" s="1298">
        <v>251.65</v>
      </c>
      <c r="D114" s="1299">
        <v>255.65</v>
      </c>
      <c r="E114" s="1300">
        <v>259.66000000000003</v>
      </c>
      <c r="F114" s="1300">
        <v>263.66000000000003</v>
      </c>
      <c r="G114" s="1300">
        <v>267.66000000000003</v>
      </c>
      <c r="H114" s="1301">
        <v>271.67</v>
      </c>
      <c r="I114" s="1288">
        <v>275.67</v>
      </c>
      <c r="J114" s="1288">
        <v>279.68</v>
      </c>
      <c r="K114" s="1288">
        <v>283.68</v>
      </c>
      <c r="L114" s="1288">
        <v>287.68</v>
      </c>
      <c r="M114" s="1288">
        <v>291.69</v>
      </c>
      <c r="N114" s="1288">
        <v>295.69</v>
      </c>
      <c r="O114" s="1289">
        <v>299.7</v>
      </c>
      <c r="P114" s="1289">
        <v>303.7</v>
      </c>
      <c r="Q114" s="1289">
        <v>307.7</v>
      </c>
      <c r="R114" s="1289">
        <v>311.70999999999998</v>
      </c>
      <c r="S114" s="1289">
        <v>239.64</v>
      </c>
      <c r="T114" s="1289">
        <v>235.63</v>
      </c>
      <c r="U114" s="1289">
        <v>175.71</v>
      </c>
      <c r="V114" s="1289">
        <v>171.71</v>
      </c>
      <c r="W114" s="1289">
        <v>167.7</v>
      </c>
      <c r="X114" s="62">
        <v>110</v>
      </c>
      <c r="Y114" s="1296">
        <v>149.07</v>
      </c>
      <c r="Z114" s="1297">
        <v>151.88999999999999</v>
      </c>
      <c r="AA114" s="1298">
        <v>154.72</v>
      </c>
      <c r="AB114" s="1299">
        <v>157.55000000000001</v>
      </c>
      <c r="AC114" s="1300">
        <v>160.37</v>
      </c>
      <c r="AD114" s="1300">
        <v>163.19999999999999</v>
      </c>
      <c r="AE114" s="1285">
        <v>166.03</v>
      </c>
      <c r="AF114" s="1301">
        <v>168.86</v>
      </c>
      <c r="AG114" s="1288">
        <v>171.68</v>
      </c>
      <c r="AH114" s="1288">
        <v>174.51</v>
      </c>
      <c r="AI114" s="1288">
        <v>177.34</v>
      </c>
      <c r="AJ114" s="1288">
        <v>180.16</v>
      </c>
      <c r="AK114" s="1288">
        <v>182.99</v>
      </c>
      <c r="AL114" s="1288">
        <v>185.82</v>
      </c>
      <c r="AM114" s="1289">
        <v>188.64</v>
      </c>
      <c r="AN114" s="1289">
        <v>191.47</v>
      </c>
      <c r="AO114" s="1289">
        <v>194.3</v>
      </c>
      <c r="AP114" s="1289">
        <v>197.13</v>
      </c>
      <c r="AQ114" s="1289">
        <v>146.24</v>
      </c>
      <c r="AR114" s="1289">
        <v>143.41</v>
      </c>
      <c r="AS114" s="1289">
        <v>112.59</v>
      </c>
      <c r="AT114" s="1289">
        <v>109.76</v>
      </c>
      <c r="AU114" s="1289">
        <v>106.94</v>
      </c>
    </row>
    <row r="115" spans="1:47">
      <c r="A115" s="1296">
        <v>245.82</v>
      </c>
      <c r="B115" s="1297">
        <v>249.86</v>
      </c>
      <c r="C115" s="1298">
        <v>253.9</v>
      </c>
      <c r="D115" s="1299">
        <v>257.94</v>
      </c>
      <c r="E115" s="1300">
        <v>261.98</v>
      </c>
      <c r="F115" s="1300">
        <v>266.02</v>
      </c>
      <c r="G115" s="1300">
        <v>270.06</v>
      </c>
      <c r="H115" s="1301">
        <v>274.10000000000002</v>
      </c>
      <c r="I115" s="1288">
        <v>278.14</v>
      </c>
      <c r="J115" s="1288">
        <v>282.18</v>
      </c>
      <c r="K115" s="1288">
        <v>286.22000000000003</v>
      </c>
      <c r="L115" s="1288">
        <v>290.26</v>
      </c>
      <c r="M115" s="1288">
        <v>294.3</v>
      </c>
      <c r="N115" s="1288">
        <v>298.33999999999997</v>
      </c>
      <c r="O115" s="1289">
        <v>302.38</v>
      </c>
      <c r="P115" s="1289">
        <v>306.42</v>
      </c>
      <c r="Q115" s="1289">
        <v>310.45999999999998</v>
      </c>
      <c r="R115" s="1289">
        <v>314.5</v>
      </c>
      <c r="S115" s="1289">
        <v>241.78</v>
      </c>
      <c r="T115" s="1289">
        <v>237.74</v>
      </c>
      <c r="U115" s="1289">
        <v>177.28</v>
      </c>
      <c r="V115" s="1289">
        <v>173.24</v>
      </c>
      <c r="W115" s="1289">
        <v>169.2</v>
      </c>
      <c r="X115" s="62">
        <v>111</v>
      </c>
      <c r="Y115" s="1296">
        <v>150.41</v>
      </c>
      <c r="Z115" s="1297">
        <v>153.27000000000001</v>
      </c>
      <c r="AA115" s="1298">
        <v>156.12</v>
      </c>
      <c r="AB115" s="1299">
        <v>1158.97</v>
      </c>
      <c r="AC115" s="1300">
        <v>161.82</v>
      </c>
      <c r="AD115" s="1300">
        <v>164.68</v>
      </c>
      <c r="AE115" s="1285">
        <v>167.53</v>
      </c>
      <c r="AF115" s="1301">
        <v>170.38</v>
      </c>
      <c r="AG115" s="1288">
        <v>173.24</v>
      </c>
      <c r="AH115" s="1288">
        <v>176.09</v>
      </c>
      <c r="AI115" s="1288">
        <v>178.94</v>
      </c>
      <c r="AJ115" s="1288">
        <v>181.79</v>
      </c>
      <c r="AK115" s="1288">
        <v>184.65</v>
      </c>
      <c r="AL115" s="1288">
        <v>187.5</v>
      </c>
      <c r="AM115" s="1289">
        <v>190.35</v>
      </c>
      <c r="AN115" s="1289">
        <v>193.2</v>
      </c>
      <c r="AO115" s="1289">
        <v>196.06</v>
      </c>
      <c r="AP115" s="1289">
        <v>198.91</v>
      </c>
      <c r="AQ115" s="1289">
        <v>147.56</v>
      </c>
      <c r="AR115" s="1289">
        <v>144.71</v>
      </c>
      <c r="AS115" s="1289">
        <v>113.61</v>
      </c>
      <c r="AT115" s="1289">
        <v>110.75</v>
      </c>
      <c r="AU115" s="1289">
        <v>107.9</v>
      </c>
    </row>
    <row r="116" spans="1:47">
      <c r="A116" s="1296">
        <v>248</v>
      </c>
      <c r="B116" s="1297">
        <v>252.08</v>
      </c>
      <c r="C116" s="1298">
        <v>256.14999999999998</v>
      </c>
      <c r="D116" s="1299">
        <v>260.23</v>
      </c>
      <c r="E116" s="1300">
        <v>264.31</v>
      </c>
      <c r="F116" s="1300">
        <v>268.38</v>
      </c>
      <c r="G116" s="1300">
        <v>272.45999999999998</v>
      </c>
      <c r="H116" s="1301">
        <v>276.54000000000002</v>
      </c>
      <c r="I116" s="1288">
        <v>280.61</v>
      </c>
      <c r="J116" s="1288">
        <v>284.69</v>
      </c>
      <c r="K116" s="1288">
        <v>288.77</v>
      </c>
      <c r="L116" s="1288">
        <v>292.83999999999997</v>
      </c>
      <c r="M116" s="1288">
        <v>296.92</v>
      </c>
      <c r="N116" s="1288">
        <v>301</v>
      </c>
      <c r="O116" s="1289">
        <v>305.07</v>
      </c>
      <c r="P116" s="1289">
        <v>309.14999999999998</v>
      </c>
      <c r="Q116" s="1289">
        <v>313.23</v>
      </c>
      <c r="R116" s="1289">
        <v>317.3</v>
      </c>
      <c r="S116" s="1289">
        <v>243.92</v>
      </c>
      <c r="T116" s="1289">
        <v>239.84</v>
      </c>
      <c r="U116" s="1289">
        <v>178.86</v>
      </c>
      <c r="V116" s="1289">
        <v>174.79</v>
      </c>
      <c r="W116" s="1289">
        <v>170.71</v>
      </c>
      <c r="X116" s="62">
        <v>112</v>
      </c>
      <c r="Y116" s="1296">
        <v>151.76</v>
      </c>
      <c r="Z116" s="1297">
        <v>154.63999999999999</v>
      </c>
      <c r="AA116" s="1298">
        <v>157.52000000000001</v>
      </c>
      <c r="AB116" s="1299">
        <v>160.4</v>
      </c>
      <c r="AC116" s="1300">
        <v>163.28</v>
      </c>
      <c r="AD116" s="1300">
        <v>166.15</v>
      </c>
      <c r="AE116" s="1285">
        <v>169.03</v>
      </c>
      <c r="AF116" s="1301">
        <v>171.91</v>
      </c>
      <c r="AG116" s="1288">
        <v>174.79</v>
      </c>
      <c r="AH116" s="1288">
        <v>177.67</v>
      </c>
      <c r="AI116" s="1288">
        <v>180.55</v>
      </c>
      <c r="AJ116" s="1288">
        <v>183.43</v>
      </c>
      <c r="AK116" s="1288">
        <v>186.3</v>
      </c>
      <c r="AL116" s="1288">
        <v>189.18</v>
      </c>
      <c r="AM116" s="1289">
        <v>192.06</v>
      </c>
      <c r="AN116" s="1289">
        <v>194.94</v>
      </c>
      <c r="AO116" s="1289">
        <v>197.82</v>
      </c>
      <c r="AP116" s="1289">
        <v>200.7</v>
      </c>
      <c r="AQ116" s="1289">
        <v>148.88</v>
      </c>
      <c r="AR116" s="1289">
        <v>146.01</v>
      </c>
      <c r="AS116" s="1289">
        <v>114.63</v>
      </c>
      <c r="AT116" s="1289">
        <v>111.75</v>
      </c>
      <c r="AU116" s="1289">
        <v>108.87</v>
      </c>
    </row>
    <row r="117" spans="1:47">
      <c r="A117" s="1296">
        <v>250.19</v>
      </c>
      <c r="B117" s="1297">
        <v>254.3</v>
      </c>
      <c r="C117" s="1298">
        <v>258.41000000000003</v>
      </c>
      <c r="D117" s="1299">
        <v>262.52999999999997</v>
      </c>
      <c r="E117" s="1300">
        <v>266.64</v>
      </c>
      <c r="F117" s="1300">
        <v>270.75</v>
      </c>
      <c r="G117" s="1300">
        <v>274.87</v>
      </c>
      <c r="H117" s="1301">
        <v>278.98</v>
      </c>
      <c r="I117" s="1288">
        <v>283.08999999999997</v>
      </c>
      <c r="J117" s="1288">
        <v>287.20999999999998</v>
      </c>
      <c r="K117" s="1288">
        <v>291.32</v>
      </c>
      <c r="L117" s="1288">
        <v>295.43</v>
      </c>
      <c r="M117" s="1288">
        <v>299.55</v>
      </c>
      <c r="N117" s="1288">
        <v>303.66000000000003</v>
      </c>
      <c r="O117" s="1289">
        <v>307.77</v>
      </c>
      <c r="P117" s="1289">
        <v>311.89</v>
      </c>
      <c r="Q117" s="1289">
        <v>316</v>
      </c>
      <c r="R117" s="1289">
        <v>320.11</v>
      </c>
      <c r="S117" s="1289">
        <v>246.07</v>
      </c>
      <c r="T117" s="1289">
        <v>241.96</v>
      </c>
      <c r="U117" s="1289">
        <v>180.45</v>
      </c>
      <c r="V117" s="1289">
        <v>176.33</v>
      </c>
      <c r="W117" s="1289">
        <v>172.22</v>
      </c>
      <c r="X117" s="62">
        <v>113</v>
      </c>
      <c r="Y117" s="1296">
        <v>153.11000000000001</v>
      </c>
      <c r="Z117" s="1297">
        <v>156.02000000000001</v>
      </c>
      <c r="AA117" s="1298">
        <v>158.91999999999999</v>
      </c>
      <c r="AB117" s="1299">
        <v>161.83000000000001</v>
      </c>
      <c r="AC117" s="1300">
        <v>164.73</v>
      </c>
      <c r="AD117" s="1300">
        <v>167.63</v>
      </c>
      <c r="AE117" s="1285">
        <v>170.54</v>
      </c>
      <c r="AF117" s="1301">
        <v>173.44</v>
      </c>
      <c r="AG117" s="1288">
        <v>176.35</v>
      </c>
      <c r="AH117" s="1288">
        <v>179.25</v>
      </c>
      <c r="AI117" s="1288">
        <v>182.15</v>
      </c>
      <c r="AJ117" s="1288">
        <v>185.06</v>
      </c>
      <c r="AK117" s="1288">
        <v>187.96</v>
      </c>
      <c r="AL117" s="1288">
        <v>190.87</v>
      </c>
      <c r="AM117" s="1289">
        <v>193.77</v>
      </c>
      <c r="AN117" s="1289">
        <v>196.68</v>
      </c>
      <c r="AO117" s="1289">
        <v>199.58</v>
      </c>
      <c r="AP117" s="1289">
        <v>202.48</v>
      </c>
      <c r="AQ117" s="1289">
        <v>150.27000000000001</v>
      </c>
      <c r="AR117" s="1289">
        <v>147.31</v>
      </c>
      <c r="AS117" s="1289">
        <v>115.65</v>
      </c>
      <c r="AT117" s="1289">
        <v>112.74</v>
      </c>
      <c r="AU117" s="1289">
        <v>109.84</v>
      </c>
    </row>
    <row r="118" spans="1:47">
      <c r="A118" s="1296">
        <v>252.38</v>
      </c>
      <c r="B118" s="1297">
        <v>256.52999999999997</v>
      </c>
      <c r="C118" s="1298">
        <v>260.68</v>
      </c>
      <c r="D118" s="1299">
        <v>264.83</v>
      </c>
      <c r="E118" s="1300">
        <v>268.98</v>
      </c>
      <c r="F118" s="1300">
        <v>273.13</v>
      </c>
      <c r="G118" s="1300">
        <v>277.27999999999997</v>
      </c>
      <c r="H118" s="1301">
        <v>281.43</v>
      </c>
      <c r="I118" s="1288">
        <v>285.58</v>
      </c>
      <c r="J118" s="1288">
        <v>289.73</v>
      </c>
      <c r="K118" s="1288">
        <v>293.88</v>
      </c>
      <c r="L118" s="1288">
        <v>298.02999999999997</v>
      </c>
      <c r="M118" s="1288">
        <v>302.18</v>
      </c>
      <c r="N118" s="1288">
        <v>306.33</v>
      </c>
      <c r="O118" s="1289">
        <v>310.48</v>
      </c>
      <c r="P118" s="1289">
        <v>314.63</v>
      </c>
      <c r="Q118" s="1289">
        <v>318.77999999999997</v>
      </c>
      <c r="R118" s="1289">
        <v>322.93</v>
      </c>
      <c r="S118" s="1289">
        <v>248.24</v>
      </c>
      <c r="T118" s="1289">
        <v>244.09</v>
      </c>
      <c r="U118" s="1289">
        <v>182.03</v>
      </c>
      <c r="V118" s="1289">
        <v>177.88</v>
      </c>
      <c r="W118" s="1289">
        <v>173.73</v>
      </c>
      <c r="X118" s="62">
        <v>114</v>
      </c>
      <c r="Y118" s="1296">
        <v>154.47</v>
      </c>
      <c r="Z118" s="1297">
        <v>157.4</v>
      </c>
      <c r="AA118" s="1298">
        <v>160.33000000000001</v>
      </c>
      <c r="AB118" s="1299">
        <v>163.19999999999999</v>
      </c>
      <c r="AC118" s="1300">
        <v>166.19</v>
      </c>
      <c r="AD118" s="1300">
        <v>169.12</v>
      </c>
      <c r="AE118" s="1285">
        <v>172.05</v>
      </c>
      <c r="AF118" s="1301">
        <v>174.98</v>
      </c>
      <c r="AG118" s="1288">
        <v>177.91</v>
      </c>
      <c r="AH118" s="1288">
        <v>180.83</v>
      </c>
      <c r="AI118" s="1288">
        <v>183.76</v>
      </c>
      <c r="AJ118" s="1288">
        <v>186.69</v>
      </c>
      <c r="AK118" s="1288">
        <v>189.62</v>
      </c>
      <c r="AL118" s="1288">
        <v>192.55</v>
      </c>
      <c r="AM118" s="1289">
        <v>195.48</v>
      </c>
      <c r="AN118" s="1289">
        <v>198.41</v>
      </c>
      <c r="AO118" s="1289">
        <v>201.34</v>
      </c>
      <c r="AP118" s="1289">
        <v>204.27</v>
      </c>
      <c r="AQ118" s="1289">
        <v>151.54</v>
      </c>
      <c r="AR118" s="1289">
        <v>148.61000000000001</v>
      </c>
      <c r="AS118" s="1289">
        <v>116.67</v>
      </c>
      <c r="AT118" s="1289">
        <v>113.74</v>
      </c>
      <c r="AU118" s="1289">
        <v>110.81</v>
      </c>
    </row>
    <row r="119" spans="1:47">
      <c r="A119" s="1296">
        <v>254.59</v>
      </c>
      <c r="B119" s="1297">
        <v>258.77</v>
      </c>
      <c r="C119" s="1298">
        <v>262.95999999999998</v>
      </c>
      <c r="D119" s="1299">
        <v>267.14999999999998</v>
      </c>
      <c r="E119" s="1300">
        <v>271.33</v>
      </c>
      <c r="F119" s="1300">
        <v>275.55200000000002</v>
      </c>
      <c r="G119" s="1300">
        <v>279.7</v>
      </c>
      <c r="H119" s="1301">
        <v>283.89</v>
      </c>
      <c r="I119" s="1288">
        <v>288.08</v>
      </c>
      <c r="J119" s="1288">
        <v>292.26</v>
      </c>
      <c r="K119" s="1288">
        <v>296.45</v>
      </c>
      <c r="L119" s="1288">
        <v>300.63</v>
      </c>
      <c r="M119" s="1288">
        <v>301.82</v>
      </c>
      <c r="N119" s="1288">
        <v>309.01</v>
      </c>
      <c r="O119" s="1289">
        <v>313.19</v>
      </c>
      <c r="P119" s="1289">
        <v>317.38</v>
      </c>
      <c r="Q119" s="1289">
        <v>321.56</v>
      </c>
      <c r="R119" s="1289">
        <v>325.75</v>
      </c>
      <c r="S119" s="1289">
        <v>250.4</v>
      </c>
      <c r="T119" s="1289">
        <v>246.22</v>
      </c>
      <c r="U119" s="1289">
        <v>183.62</v>
      </c>
      <c r="V119" s="1289">
        <v>179.44</v>
      </c>
      <c r="W119" s="1289">
        <v>175.25</v>
      </c>
      <c r="X119" s="62">
        <v>115</v>
      </c>
      <c r="Y119" s="1296">
        <v>155.82</v>
      </c>
      <c r="Z119" s="1297">
        <v>158.78</v>
      </c>
      <c r="AA119" s="1298">
        <v>161.72999999999999</v>
      </c>
      <c r="AB119" s="1299">
        <v>164.69</v>
      </c>
      <c r="AC119" s="1300">
        <v>167.64</v>
      </c>
      <c r="AD119" s="1300">
        <v>170.6</v>
      </c>
      <c r="AE119" s="1285">
        <v>173.55</v>
      </c>
      <c r="AF119" s="1301">
        <v>176.51</v>
      </c>
      <c r="AG119" s="1288">
        <v>179.47</v>
      </c>
      <c r="AH119" s="1288">
        <v>182.42</v>
      </c>
      <c r="AI119" s="1288">
        <v>185.38</v>
      </c>
      <c r="AJ119" s="1288">
        <v>188.33</v>
      </c>
      <c r="AK119" s="1288">
        <v>191.29</v>
      </c>
      <c r="AL119" s="1288">
        <v>194.24</v>
      </c>
      <c r="AM119" s="1289">
        <v>197.2</v>
      </c>
      <c r="AN119" s="1289">
        <v>200.15</v>
      </c>
      <c r="AO119" s="1289">
        <v>203.11</v>
      </c>
      <c r="AP119" s="1289">
        <v>206.07</v>
      </c>
      <c r="AQ119" s="1289">
        <v>152.87</v>
      </c>
      <c r="AR119" s="1289">
        <v>149.91</v>
      </c>
      <c r="AS119" s="1289">
        <v>117.69</v>
      </c>
      <c r="AT119" s="1289">
        <v>114.74</v>
      </c>
      <c r="AU119" s="1289">
        <v>111.78</v>
      </c>
    </row>
    <row r="120" spans="1:47">
      <c r="A120" s="1296">
        <v>256.8</v>
      </c>
      <c r="B120" s="1297">
        <v>261.02</v>
      </c>
      <c r="C120" s="1298">
        <v>265.25</v>
      </c>
      <c r="D120" s="1299">
        <v>269.47000000000003</v>
      </c>
      <c r="E120" s="1300">
        <v>273.69</v>
      </c>
      <c r="F120" s="1300">
        <v>277.91000000000003</v>
      </c>
      <c r="G120" s="1300">
        <v>282.10000000000002</v>
      </c>
      <c r="H120" s="1301">
        <v>286.36</v>
      </c>
      <c r="I120" s="1288">
        <v>290.58</v>
      </c>
      <c r="J120" s="1288">
        <v>294.8</v>
      </c>
      <c r="K120" s="1288">
        <v>299.02</v>
      </c>
      <c r="L120" s="1288">
        <v>303.25</v>
      </c>
      <c r="M120" s="1288">
        <v>307.47000000000003</v>
      </c>
      <c r="N120" s="1288">
        <v>311.60000000000002</v>
      </c>
      <c r="O120" s="1289">
        <v>315.91000000000003</v>
      </c>
      <c r="P120" s="1289">
        <v>320.14</v>
      </c>
      <c r="Q120" s="1289">
        <v>324.36</v>
      </c>
      <c r="R120" s="1289">
        <v>328.58</v>
      </c>
      <c r="S120" s="1289">
        <v>252.58</v>
      </c>
      <c r="T120" s="1289">
        <v>248.36</v>
      </c>
      <c r="U120" s="1289">
        <v>185.22</v>
      </c>
      <c r="V120" s="1289">
        <v>181</v>
      </c>
      <c r="W120" s="1289">
        <v>176.77</v>
      </c>
      <c r="X120" s="62">
        <v>116</v>
      </c>
      <c r="Y120" s="1296">
        <v>57.18</v>
      </c>
      <c r="Z120" s="1297">
        <v>160.16</v>
      </c>
      <c r="AA120" s="1298">
        <v>163.13999999999999</v>
      </c>
      <c r="AB120" s="1299">
        <v>166.12</v>
      </c>
      <c r="AC120" s="1300">
        <v>169.1</v>
      </c>
      <c r="AD120" s="1300">
        <v>172.08</v>
      </c>
      <c r="AE120" s="1285">
        <v>175.07</v>
      </c>
      <c r="AF120" s="1301">
        <v>178.05</v>
      </c>
      <c r="AG120" s="1288">
        <v>181.03</v>
      </c>
      <c r="AH120" s="1288">
        <v>184.01</v>
      </c>
      <c r="AI120" s="1288">
        <v>186.99</v>
      </c>
      <c r="AJ120" s="1288">
        <v>189.97</v>
      </c>
      <c r="AK120" s="1288">
        <v>192.95</v>
      </c>
      <c r="AL120" s="1288">
        <v>195.93</v>
      </c>
      <c r="AM120" s="1289">
        <v>198.92</v>
      </c>
      <c r="AN120" s="1289">
        <v>201.9</v>
      </c>
      <c r="AO120" s="1289">
        <v>204.88</v>
      </c>
      <c r="AP120" s="1289">
        <v>207.86</v>
      </c>
      <c r="AQ120" s="1289">
        <v>154.19999999999999</v>
      </c>
      <c r="AR120" s="1289">
        <v>151.22</v>
      </c>
      <c r="AS120" s="1289">
        <v>118.72</v>
      </c>
      <c r="AT120" s="1289">
        <v>115.74</v>
      </c>
      <c r="AU120" s="1289">
        <v>112.76</v>
      </c>
    </row>
    <row r="121" spans="1:47">
      <c r="A121" s="1296">
        <v>259</v>
      </c>
      <c r="B121" s="1297">
        <v>263.27999999999997</v>
      </c>
      <c r="C121" s="1298">
        <v>267.54000000000002</v>
      </c>
      <c r="D121" s="1299">
        <v>271.8</v>
      </c>
      <c r="E121" s="1300">
        <v>276.06</v>
      </c>
      <c r="F121" s="1300">
        <v>280.31</v>
      </c>
      <c r="G121" s="1300">
        <v>284.57</v>
      </c>
      <c r="H121" s="1301">
        <v>288.83</v>
      </c>
      <c r="I121" s="1288">
        <v>293.08999999999997</v>
      </c>
      <c r="J121" s="1288">
        <v>297.35000000000002</v>
      </c>
      <c r="K121" s="1288">
        <v>301.61</v>
      </c>
      <c r="L121" s="1288">
        <v>305.87</v>
      </c>
      <c r="M121" s="1288">
        <v>310.13</v>
      </c>
      <c r="N121" s="1288">
        <v>314.38</v>
      </c>
      <c r="O121" s="1289">
        <v>318.64</v>
      </c>
      <c r="P121" s="1303">
        <v>322.89999999999998</v>
      </c>
      <c r="Q121" s="1289">
        <v>327.16000000000003</v>
      </c>
      <c r="R121" s="1289">
        <v>331.42</v>
      </c>
      <c r="S121" s="1289">
        <v>254.76</v>
      </c>
      <c r="T121" s="1289">
        <v>250.5</v>
      </c>
      <c r="U121" s="1289">
        <v>186.82</v>
      </c>
      <c r="V121" s="1289">
        <v>182.56</v>
      </c>
      <c r="W121" s="1289">
        <v>178.3</v>
      </c>
      <c r="X121" s="62">
        <v>117</v>
      </c>
      <c r="Y121" s="1296">
        <v>158.54</v>
      </c>
      <c r="Z121" s="1297">
        <v>161.54</v>
      </c>
      <c r="AA121" s="1298">
        <v>164.55</v>
      </c>
      <c r="AB121" s="1299">
        <v>167.56</v>
      </c>
      <c r="AC121" s="1300">
        <v>170.57</v>
      </c>
      <c r="AD121" s="1300">
        <v>173.57</v>
      </c>
      <c r="AE121" s="1285">
        <v>176.58</v>
      </c>
      <c r="AF121" s="1301">
        <v>179.59</v>
      </c>
      <c r="AG121" s="1288">
        <v>182.59</v>
      </c>
      <c r="AH121" s="1288">
        <v>185.6</v>
      </c>
      <c r="AI121" s="1288">
        <v>188.61</v>
      </c>
      <c r="AJ121" s="1288">
        <v>191.61</v>
      </c>
      <c r="AK121" s="1288">
        <v>194.62</v>
      </c>
      <c r="AL121" s="1288">
        <v>197.63</v>
      </c>
      <c r="AM121" s="1289">
        <v>200.63</v>
      </c>
      <c r="AN121" s="1289">
        <v>203.64</v>
      </c>
      <c r="AO121" s="1289">
        <v>206.65</v>
      </c>
      <c r="AP121" s="1289">
        <v>209.66</v>
      </c>
      <c r="AQ121" s="1289">
        <v>155.53</v>
      </c>
      <c r="AR121" s="1289">
        <v>152.52000000000001</v>
      </c>
      <c r="AS121" s="1289">
        <v>119.74</v>
      </c>
      <c r="AT121" s="1289">
        <v>116.74</v>
      </c>
      <c r="AU121" s="1289">
        <v>113.73</v>
      </c>
    </row>
    <row r="122" spans="1:47">
      <c r="A122" s="1296">
        <v>261.25</v>
      </c>
      <c r="B122" s="1297">
        <v>265.54000000000002</v>
      </c>
      <c r="C122" s="1298">
        <v>269.83999999999997</v>
      </c>
      <c r="D122" s="1299">
        <v>274.13</v>
      </c>
      <c r="E122" s="1300">
        <v>278.43</v>
      </c>
      <c r="F122" s="1300">
        <v>282.72000000000003</v>
      </c>
      <c r="G122" s="1300">
        <v>287.02</v>
      </c>
      <c r="H122" s="1301">
        <v>291.3</v>
      </c>
      <c r="I122" s="1288">
        <v>295.61</v>
      </c>
      <c r="J122" s="1288">
        <v>299.91000000000003</v>
      </c>
      <c r="K122" s="1288">
        <v>304.2</v>
      </c>
      <c r="L122" s="1288">
        <v>308.5</v>
      </c>
      <c r="M122" s="1288">
        <v>312.79000000000002</v>
      </c>
      <c r="N122" s="1288">
        <v>317.08999999999997</v>
      </c>
      <c r="O122" s="1289">
        <v>321.38</v>
      </c>
      <c r="P122" s="1289">
        <v>325.68</v>
      </c>
      <c r="Q122" s="1289">
        <v>329.97</v>
      </c>
      <c r="R122" s="1289">
        <v>334.27</v>
      </c>
      <c r="S122" s="1289">
        <v>256.14999999999998</v>
      </c>
      <c r="T122" s="1289">
        <v>252.66</v>
      </c>
      <c r="U122" s="1289">
        <v>188.42</v>
      </c>
      <c r="V122" s="1289">
        <v>184.13</v>
      </c>
      <c r="W122" s="1289">
        <v>179.83</v>
      </c>
      <c r="X122" s="62">
        <v>118</v>
      </c>
      <c r="Y122" s="1296">
        <v>159.9</v>
      </c>
      <c r="Z122" s="1297">
        <v>162.94999999999999</v>
      </c>
      <c r="AA122" s="1298">
        <v>165.96</v>
      </c>
      <c r="AB122" s="1299">
        <v>169</v>
      </c>
      <c r="AC122" s="1300">
        <v>172.04</v>
      </c>
      <c r="AD122" s="1300">
        <v>175.06</v>
      </c>
      <c r="AE122" s="1285">
        <v>178.09</v>
      </c>
      <c r="AF122" s="1301">
        <v>181.13</v>
      </c>
      <c r="AG122" s="1288">
        <v>184.16</v>
      </c>
      <c r="AH122" s="1288">
        <v>187.19</v>
      </c>
      <c r="AI122" s="1288">
        <v>190.23</v>
      </c>
      <c r="AJ122" s="1288">
        <v>193.25</v>
      </c>
      <c r="AK122" s="1288">
        <v>196.29</v>
      </c>
      <c r="AL122" s="1288">
        <v>199.32</v>
      </c>
      <c r="AM122" s="1289">
        <v>202.36</v>
      </c>
      <c r="AN122" s="1289">
        <v>205.38</v>
      </c>
      <c r="AO122" s="1289">
        <v>208.42</v>
      </c>
      <c r="AP122" s="1289">
        <v>211.45</v>
      </c>
      <c r="AQ122" s="1289">
        <v>156.87</v>
      </c>
      <c r="AR122" s="1289">
        <v>153.82</v>
      </c>
      <c r="AS122" s="1289">
        <v>120.77</v>
      </c>
      <c r="AT122" s="1289">
        <v>117.74</v>
      </c>
      <c r="AU122" s="1289">
        <v>114.71</v>
      </c>
    </row>
    <row r="123" spans="1:47">
      <c r="A123" s="1296">
        <v>263.48</v>
      </c>
      <c r="B123" s="1297">
        <v>267.82</v>
      </c>
      <c r="C123" s="1298">
        <v>272.14999999999998</v>
      </c>
      <c r="D123" s="1299">
        <v>276.48</v>
      </c>
      <c r="E123" s="1300">
        <v>280.81</v>
      </c>
      <c r="F123" s="1300">
        <v>285.14</v>
      </c>
      <c r="G123" s="1300">
        <v>289.47000000000003</v>
      </c>
      <c r="H123" s="1301">
        <v>293.81</v>
      </c>
      <c r="I123" s="1288">
        <v>298.13</v>
      </c>
      <c r="J123" s="1288">
        <v>302.45999999999998</v>
      </c>
      <c r="K123" s="1288">
        <v>306.8</v>
      </c>
      <c r="L123" s="1288">
        <v>311.18</v>
      </c>
      <c r="M123" s="1288">
        <v>315.45</v>
      </c>
      <c r="N123" s="1288">
        <v>319.8</v>
      </c>
      <c r="O123" s="1289">
        <v>324.13</v>
      </c>
      <c r="P123" s="1289">
        <v>328.4</v>
      </c>
      <c r="Q123" s="1289">
        <v>332.79</v>
      </c>
      <c r="R123" s="1289">
        <v>337.12</v>
      </c>
      <c r="S123" s="1289">
        <v>259.14999999999998</v>
      </c>
      <c r="T123" s="1289">
        <v>254.82</v>
      </c>
      <c r="U123" s="1289">
        <v>190.03</v>
      </c>
      <c r="V123" s="1289">
        <v>185.7</v>
      </c>
      <c r="W123" s="1289">
        <v>181.37</v>
      </c>
      <c r="X123" s="62">
        <v>119</v>
      </c>
      <c r="Y123" s="1296">
        <v>161.26</v>
      </c>
      <c r="Z123" s="1297">
        <v>163.32</v>
      </c>
      <c r="AA123" s="1298">
        <v>167.37</v>
      </c>
      <c r="AB123" s="1299">
        <v>170.44</v>
      </c>
      <c r="AC123" s="1300">
        <v>173.5</v>
      </c>
      <c r="AD123" s="1300">
        <v>176.35</v>
      </c>
      <c r="AE123" s="1285">
        <v>179.61</v>
      </c>
      <c r="AF123" s="1301">
        <v>182.67</v>
      </c>
      <c r="AG123" s="1288">
        <v>185.72</v>
      </c>
      <c r="AH123" s="1288">
        <v>188.79</v>
      </c>
      <c r="AI123" s="1288">
        <v>191.85</v>
      </c>
      <c r="AJ123" s="1288">
        <v>194.89</v>
      </c>
      <c r="AK123" s="1288">
        <v>197.96</v>
      </c>
      <c r="AL123" s="1288">
        <v>201</v>
      </c>
      <c r="AM123" s="1289">
        <v>204.05</v>
      </c>
      <c r="AN123" s="1289">
        <v>207.12</v>
      </c>
      <c r="AO123" s="1289">
        <v>210.2</v>
      </c>
      <c r="AP123" s="1289">
        <v>213.25</v>
      </c>
      <c r="AQ123" s="1289">
        <v>158.19999999999999</v>
      </c>
      <c r="AR123" s="1289">
        <v>155.12</v>
      </c>
      <c r="AS123" s="1289">
        <v>121.8</v>
      </c>
      <c r="AT123" s="1289">
        <v>118.74</v>
      </c>
      <c r="AU123" s="1289">
        <v>115.68</v>
      </c>
    </row>
    <row r="124" spans="1:47">
      <c r="A124" s="1296">
        <v>265.73</v>
      </c>
      <c r="B124" s="1297">
        <v>270.10000000000002</v>
      </c>
      <c r="C124" s="1298">
        <v>274.45999999999998</v>
      </c>
      <c r="D124" s="1299">
        <v>278.83</v>
      </c>
      <c r="E124" s="1300">
        <v>283.2</v>
      </c>
      <c r="F124" s="1300">
        <v>287.57</v>
      </c>
      <c r="G124" s="1300">
        <v>291.94</v>
      </c>
      <c r="H124" s="1301">
        <v>296.27999999999997</v>
      </c>
      <c r="I124" s="1288">
        <v>300.64999999999998</v>
      </c>
      <c r="J124" s="1288">
        <v>305.04000000000002</v>
      </c>
      <c r="K124" s="1288">
        <v>309.41000000000003</v>
      </c>
      <c r="L124" s="1288">
        <v>313.77999999999997</v>
      </c>
      <c r="M124" s="1288" t="s">
        <v>1188</v>
      </c>
      <c r="N124" s="1288">
        <v>322.51</v>
      </c>
      <c r="O124" s="1289">
        <v>326.88</v>
      </c>
      <c r="P124" s="1289">
        <v>331.18</v>
      </c>
      <c r="Q124" s="1289">
        <v>335.62</v>
      </c>
      <c r="R124" s="1289">
        <v>339.98</v>
      </c>
      <c r="S124" s="1289">
        <v>261.36</v>
      </c>
      <c r="T124" s="1289">
        <v>256.99</v>
      </c>
      <c r="U124" s="1289">
        <v>191.65</v>
      </c>
      <c r="V124" s="1289">
        <v>187.28</v>
      </c>
      <c r="W124" s="1289">
        <v>182.91</v>
      </c>
      <c r="X124" s="62">
        <v>120</v>
      </c>
      <c r="Y124" s="1296">
        <v>162.56</v>
      </c>
      <c r="Z124" s="1297">
        <v>165.62</v>
      </c>
      <c r="AA124" s="1298">
        <v>168.78</v>
      </c>
      <c r="AB124" s="1299">
        <v>171.82</v>
      </c>
      <c r="AC124" s="1300">
        <v>174.9</v>
      </c>
      <c r="AD124" s="1300">
        <v>177.98</v>
      </c>
      <c r="AE124" s="1285">
        <v>181.07</v>
      </c>
      <c r="AF124" s="1301">
        <v>184.15</v>
      </c>
      <c r="AG124" s="1288">
        <v>187.26</v>
      </c>
      <c r="AH124" s="1288">
        <v>190.32</v>
      </c>
      <c r="AI124" s="1288">
        <v>193.4</v>
      </c>
      <c r="AJ124" s="1288">
        <v>196.53</v>
      </c>
      <c r="AK124" s="1288">
        <v>199.57</v>
      </c>
      <c r="AL124" s="1288">
        <v>202.66</v>
      </c>
      <c r="AM124" s="1289">
        <v>205.76</v>
      </c>
      <c r="AN124" s="1289">
        <v>208.86</v>
      </c>
      <c r="AO124" s="1289">
        <v>211.91</v>
      </c>
      <c r="AP124" s="1289">
        <v>214.99</v>
      </c>
      <c r="AQ124" s="1289">
        <v>159.47999999999999</v>
      </c>
      <c r="AR124" s="1289">
        <v>156.4</v>
      </c>
      <c r="AS124" s="1289">
        <v>122.79</v>
      </c>
      <c r="AT124" s="1289">
        <v>119.71</v>
      </c>
      <c r="AU124" s="1289">
        <v>116.62</v>
      </c>
    </row>
    <row r="125" spans="1:47">
      <c r="A125" s="1296">
        <v>267.74</v>
      </c>
      <c r="B125" s="1297">
        <v>272.14</v>
      </c>
      <c r="C125" s="1298">
        <v>276.54000000000002</v>
      </c>
      <c r="D125" s="1299">
        <v>280.95</v>
      </c>
      <c r="E125" s="1300">
        <v>285.35000000000002</v>
      </c>
      <c r="F125" s="1300">
        <v>289.76</v>
      </c>
      <c r="G125" s="1300">
        <v>294.16000000000003</v>
      </c>
      <c r="H125" s="1301">
        <v>298.57</v>
      </c>
      <c r="I125" s="1288">
        <v>302.97000000000003</v>
      </c>
      <c r="J125" s="1288">
        <v>307.38</v>
      </c>
      <c r="K125" s="1288">
        <v>311.77999999999997</v>
      </c>
      <c r="L125" s="1288">
        <v>316.18</v>
      </c>
      <c r="M125" s="1288">
        <v>320.58999999999997</v>
      </c>
      <c r="N125" s="1288">
        <v>324.99</v>
      </c>
      <c r="O125" s="1289">
        <v>329.4</v>
      </c>
      <c r="P125" s="1289">
        <v>333.8</v>
      </c>
      <c r="Q125" s="1289">
        <v>338.21</v>
      </c>
      <c r="R125" s="1289">
        <v>342.61</v>
      </c>
      <c r="S125" s="1289">
        <v>263.33</v>
      </c>
      <c r="T125" s="1289">
        <v>258.93</v>
      </c>
      <c r="U125" s="1289">
        <v>193.12</v>
      </c>
      <c r="V125" s="1289">
        <v>188.72</v>
      </c>
      <c r="W125" s="1289">
        <v>184.31</v>
      </c>
      <c r="X125" s="62">
        <v>121</v>
      </c>
      <c r="Y125" s="1296">
        <v>163.93</v>
      </c>
      <c r="Z125" s="1297">
        <v>167.04</v>
      </c>
      <c r="AA125" s="1298">
        <v>170.15</v>
      </c>
      <c r="AB125" s="1299">
        <v>173.26</v>
      </c>
      <c r="AC125" s="1300">
        <v>176.37</v>
      </c>
      <c r="AD125" s="1300">
        <v>179.48</v>
      </c>
      <c r="AE125" s="1285">
        <v>182.59</v>
      </c>
      <c r="AF125" s="1301">
        <v>185.7</v>
      </c>
      <c r="AG125" s="1288">
        <v>188.81</v>
      </c>
      <c r="AH125" s="1288">
        <v>191.92</v>
      </c>
      <c r="AI125" s="1288">
        <v>195.03</v>
      </c>
      <c r="AJ125" s="1288">
        <v>198.14</v>
      </c>
      <c r="AK125" s="1288">
        <v>201.25</v>
      </c>
      <c r="AL125" s="1288">
        <v>204.36</v>
      </c>
      <c r="AM125" s="1289">
        <v>207.47</v>
      </c>
      <c r="AN125" s="1289">
        <v>210.58</v>
      </c>
      <c r="AO125" s="1289">
        <v>213.69</v>
      </c>
      <c r="AP125" s="1289">
        <v>216.8</v>
      </c>
      <c r="AQ125" s="1289">
        <v>160.82</v>
      </c>
      <c r="AR125" s="1289">
        <v>157.71</v>
      </c>
      <c r="AS125" s="1289">
        <v>123.82</v>
      </c>
      <c r="AT125" s="1289">
        <v>120.71</v>
      </c>
      <c r="AU125" s="1289">
        <v>117.6</v>
      </c>
    </row>
    <row r="126" spans="1:47">
      <c r="A126" s="1296">
        <v>269.99</v>
      </c>
      <c r="B126" s="1297">
        <v>274.43</v>
      </c>
      <c r="C126" s="1298">
        <v>278.87</v>
      </c>
      <c r="D126" s="1299">
        <v>283.32</v>
      </c>
      <c r="E126" s="1300">
        <v>287.76</v>
      </c>
      <c r="F126" s="1300">
        <v>292.2</v>
      </c>
      <c r="G126" s="1300">
        <v>296.64</v>
      </c>
      <c r="H126" s="1301">
        <v>301.08</v>
      </c>
      <c r="I126" s="1288">
        <v>305.52</v>
      </c>
      <c r="J126" s="1288">
        <v>309.95999999999998</v>
      </c>
      <c r="K126" s="1288">
        <v>314.39999999999998</v>
      </c>
      <c r="L126" s="1288">
        <v>318.83999999999997</v>
      </c>
      <c r="M126" s="1288">
        <v>323.27999999999997</v>
      </c>
      <c r="N126" s="1288">
        <v>327.72</v>
      </c>
      <c r="O126" s="1289">
        <v>332.16</v>
      </c>
      <c r="P126" s="1289">
        <v>336.61</v>
      </c>
      <c r="Q126" s="1289">
        <v>341.05</v>
      </c>
      <c r="R126" s="1289">
        <v>345.49</v>
      </c>
      <c r="S126" s="1289">
        <v>265.55</v>
      </c>
      <c r="T126" s="1289">
        <v>261.11</v>
      </c>
      <c r="U126" s="1289">
        <v>194.75</v>
      </c>
      <c r="V126" s="1289">
        <v>190.31</v>
      </c>
      <c r="W126" s="1289">
        <v>185.86</v>
      </c>
      <c r="X126" s="62">
        <v>122</v>
      </c>
      <c r="Y126" s="1296">
        <v>165.3</v>
      </c>
      <c r="Z126" s="1297">
        <v>168.44</v>
      </c>
      <c r="AA126" s="1298">
        <v>171.57</v>
      </c>
      <c r="AB126" s="1299">
        <v>174.71</v>
      </c>
      <c r="AC126" s="1300">
        <v>177.84</v>
      </c>
      <c r="AD126" s="1300">
        <v>180.98</v>
      </c>
      <c r="AE126" s="1285">
        <v>184.11</v>
      </c>
      <c r="AF126" s="1301">
        <v>187.25</v>
      </c>
      <c r="AG126" s="1288">
        <v>190.38</v>
      </c>
      <c r="AH126" s="1288">
        <v>193.52</v>
      </c>
      <c r="AI126" s="1288">
        <v>196.65</v>
      </c>
      <c r="AJ126" s="1288">
        <v>199.79</v>
      </c>
      <c r="AK126" s="1288">
        <v>202.93</v>
      </c>
      <c r="AL126" s="1288">
        <v>206.06</v>
      </c>
      <c r="AM126" s="1289">
        <v>209.2</v>
      </c>
      <c r="AN126" s="1289">
        <v>212.33</v>
      </c>
      <c r="AO126" s="1289">
        <v>215.47</v>
      </c>
      <c r="AP126" s="1289">
        <v>218.6</v>
      </c>
      <c r="AQ126" s="1289">
        <v>162.16999999999999</v>
      </c>
      <c r="AR126" s="1289">
        <v>159.03</v>
      </c>
      <c r="AS126" s="1289">
        <v>124.85</v>
      </c>
      <c r="AT126" s="1289">
        <v>121.72</v>
      </c>
      <c r="AU126" s="1289">
        <v>118.58</v>
      </c>
    </row>
    <row r="127" spans="1:47">
      <c r="A127" s="1296">
        <v>272.26</v>
      </c>
      <c r="B127" s="1297">
        <v>276.74</v>
      </c>
      <c r="C127" s="1298">
        <v>281.20999999999998</v>
      </c>
      <c r="D127" s="1299">
        <v>285.69</v>
      </c>
      <c r="E127" s="1300">
        <v>290.17</v>
      </c>
      <c r="F127" s="1300">
        <v>294.64999999999998</v>
      </c>
      <c r="G127" s="1300">
        <v>299.12</v>
      </c>
      <c r="H127" s="1301">
        <v>303.60000000000002</v>
      </c>
      <c r="I127" s="1288">
        <v>308.08</v>
      </c>
      <c r="J127" s="1288">
        <v>312.55</v>
      </c>
      <c r="K127" s="1288">
        <v>317.02999999999997</v>
      </c>
      <c r="L127" s="1288">
        <v>321.51</v>
      </c>
      <c r="M127" s="1288">
        <v>325.99</v>
      </c>
      <c r="N127" s="1288">
        <v>330.56</v>
      </c>
      <c r="O127" s="1289">
        <v>334.94</v>
      </c>
      <c r="P127" s="1289">
        <v>339.42</v>
      </c>
      <c r="Q127" s="1289">
        <v>343.9</v>
      </c>
      <c r="R127" s="1289">
        <v>348.37</v>
      </c>
      <c r="S127" s="1289">
        <v>267.77999999999997</v>
      </c>
      <c r="T127" s="1289">
        <v>263.31</v>
      </c>
      <c r="U127" s="1289">
        <v>196.37</v>
      </c>
      <c r="V127" s="1289">
        <v>191.9</v>
      </c>
      <c r="W127" s="1289">
        <v>187.42</v>
      </c>
      <c r="X127" s="62">
        <v>123</v>
      </c>
      <c r="Y127" s="1296">
        <v>166.6</v>
      </c>
      <c r="Z127" s="1297">
        <v>169.77</v>
      </c>
      <c r="AA127" s="1298">
        <v>172.93</v>
      </c>
      <c r="AB127" s="1299">
        <v>176.09</v>
      </c>
      <c r="AC127" s="1300">
        <v>179.25</v>
      </c>
      <c r="AD127" s="1300">
        <v>182.41</v>
      </c>
      <c r="AE127" s="1285">
        <v>185.57</v>
      </c>
      <c r="AF127" s="1301">
        <v>188.73</v>
      </c>
      <c r="AG127" s="1288">
        <v>191.89</v>
      </c>
      <c r="AH127" s="1288">
        <v>195.05</v>
      </c>
      <c r="AI127" s="1288">
        <v>198.22</v>
      </c>
      <c r="AJ127" s="1288">
        <v>201.38</v>
      </c>
      <c r="AK127" s="1288">
        <v>204.54</v>
      </c>
      <c r="AL127" s="1288">
        <v>207.7</v>
      </c>
      <c r="AM127" s="1289">
        <v>210.86</v>
      </c>
      <c r="AN127" s="1289">
        <v>214.02</v>
      </c>
      <c r="AO127" s="1289">
        <v>217.18</v>
      </c>
      <c r="AP127" s="1289">
        <v>220.34</v>
      </c>
      <c r="AQ127" s="1289">
        <v>163.44</v>
      </c>
      <c r="AR127" s="1289">
        <v>160.28</v>
      </c>
      <c r="AS127" s="1289">
        <v>125.85</v>
      </c>
      <c r="AT127" s="1289">
        <v>122.68</v>
      </c>
      <c r="AU127" s="1289">
        <v>119.52</v>
      </c>
    </row>
    <row r="128" spans="1:47">
      <c r="A128" s="1296">
        <v>274.54000000000002</v>
      </c>
      <c r="B128" s="1297">
        <v>279.05</v>
      </c>
      <c r="C128" s="1298">
        <v>283.56</v>
      </c>
      <c r="D128" s="1299">
        <v>288.08</v>
      </c>
      <c r="E128" s="1300">
        <v>292.58999999999997</v>
      </c>
      <c r="F128" s="1300">
        <v>297.10000000000002</v>
      </c>
      <c r="G128" s="1300">
        <v>301.62</v>
      </c>
      <c r="H128" s="1301">
        <v>306.13</v>
      </c>
      <c r="I128" s="1288">
        <v>310.64999999999998</v>
      </c>
      <c r="J128" s="1288">
        <v>315.16000000000003</v>
      </c>
      <c r="K128" s="1288">
        <v>319.67</v>
      </c>
      <c r="L128" s="1288">
        <v>324.19</v>
      </c>
      <c r="M128" s="1288">
        <v>328.7</v>
      </c>
      <c r="N128" s="1288">
        <v>333.21</v>
      </c>
      <c r="O128" s="1289">
        <v>337.73</v>
      </c>
      <c r="P128" s="1289">
        <v>342.24</v>
      </c>
      <c r="Q128" s="1289">
        <v>346.75</v>
      </c>
      <c r="R128" s="1289">
        <v>351.27</v>
      </c>
      <c r="S128" s="1289">
        <v>270.02</v>
      </c>
      <c r="T128" s="1289">
        <v>265.51</v>
      </c>
      <c r="U128" s="1289">
        <v>198.01</v>
      </c>
      <c r="V128" s="1289">
        <v>193.49</v>
      </c>
      <c r="W128" s="1289">
        <v>188.98</v>
      </c>
      <c r="X128" s="62">
        <v>124</v>
      </c>
      <c r="Y128" s="1296">
        <v>167.98</v>
      </c>
      <c r="Z128" s="1297">
        <v>171.17</v>
      </c>
      <c r="AA128" s="1298">
        <v>174.35</v>
      </c>
      <c r="AB128" s="1299">
        <v>177.54</v>
      </c>
      <c r="AC128" s="1300">
        <v>180.73</v>
      </c>
      <c r="AD128" s="1300">
        <v>183.91</v>
      </c>
      <c r="AE128" s="1285">
        <v>187.1</v>
      </c>
      <c r="AF128" s="1301">
        <v>190.29</v>
      </c>
      <c r="AG128" s="1288">
        <v>193.47</v>
      </c>
      <c r="AH128" s="1288">
        <v>196.66</v>
      </c>
      <c r="AI128" s="1288">
        <v>199.85</v>
      </c>
      <c r="AJ128" s="1288">
        <v>203.03</v>
      </c>
      <c r="AK128" s="1288">
        <v>206.22</v>
      </c>
      <c r="AL128" s="1288">
        <v>209.41</v>
      </c>
      <c r="AM128" s="1289">
        <v>212.59</v>
      </c>
      <c r="AN128" s="1289">
        <v>215.78</v>
      </c>
      <c r="AO128" s="1289">
        <v>218.97</v>
      </c>
      <c r="AP128" s="1289">
        <v>222.15</v>
      </c>
      <c r="AQ128" s="1289">
        <v>164.79</v>
      </c>
      <c r="AR128" s="1289">
        <v>161.6</v>
      </c>
      <c r="AS128" s="1289">
        <v>126.88</v>
      </c>
      <c r="AT128" s="1289">
        <v>123.69</v>
      </c>
      <c r="AU128" s="1289">
        <v>120.51</v>
      </c>
    </row>
    <row r="129" spans="1:47">
      <c r="A129" s="1296">
        <v>76.56</v>
      </c>
      <c r="B129" s="1297">
        <v>281.11</v>
      </c>
      <c r="C129" s="1298">
        <v>285.66000000000003</v>
      </c>
      <c r="D129" s="1299">
        <v>290.20999999999998</v>
      </c>
      <c r="E129" s="1300">
        <v>294.76</v>
      </c>
      <c r="F129" s="1300">
        <v>299.31</v>
      </c>
      <c r="G129" s="1300">
        <v>303.86</v>
      </c>
      <c r="H129" s="1301">
        <v>308.41000000000003</v>
      </c>
      <c r="I129" s="1288">
        <v>312.95999999999998</v>
      </c>
      <c r="J129" s="1288">
        <v>317.51</v>
      </c>
      <c r="K129" s="1288">
        <v>322.06</v>
      </c>
      <c r="L129" s="1288">
        <v>326.61</v>
      </c>
      <c r="M129" s="1288">
        <v>331.16</v>
      </c>
      <c r="N129" s="1288">
        <v>335.71</v>
      </c>
      <c r="O129" s="1289">
        <v>340.26</v>
      </c>
      <c r="P129" s="1289">
        <v>344.81</v>
      </c>
      <c r="Q129" s="1289">
        <v>349.36</v>
      </c>
      <c r="R129" s="1289">
        <v>353.91</v>
      </c>
      <c r="S129" s="1289">
        <v>272.01</v>
      </c>
      <c r="T129" s="1289">
        <v>267.45999999999998</v>
      </c>
      <c r="U129" s="1289">
        <v>199.49</v>
      </c>
      <c r="V129" s="1289">
        <v>194.94</v>
      </c>
      <c r="W129" s="1289">
        <v>190.39</v>
      </c>
      <c r="X129" s="62">
        <v>125</v>
      </c>
      <c r="Y129" s="1296">
        <v>169.35</v>
      </c>
      <c r="Z129" s="1297">
        <v>172.57</v>
      </c>
      <c r="AA129" s="1298">
        <v>175.78</v>
      </c>
      <c r="AB129" s="1299">
        <v>178.99</v>
      </c>
      <c r="AC129" s="1300">
        <v>182.2</v>
      </c>
      <c r="AD129" s="1300">
        <v>185.42</v>
      </c>
      <c r="AE129" s="1285">
        <v>188.63</v>
      </c>
      <c r="AF129" s="1301">
        <v>191.84</v>
      </c>
      <c r="AG129" s="1288">
        <v>195.05</v>
      </c>
      <c r="AH129" s="1288">
        <v>198.27</v>
      </c>
      <c r="AI129" s="1288">
        <v>201.48</v>
      </c>
      <c r="AJ129" s="1288">
        <v>204.69</v>
      </c>
      <c r="AK129" s="1288">
        <v>207.9</v>
      </c>
      <c r="AL129" s="1288">
        <v>211.12</v>
      </c>
      <c r="AM129" s="1289">
        <v>214.33</v>
      </c>
      <c r="AN129" s="1289">
        <v>217.54</v>
      </c>
      <c r="AO129" s="1289">
        <v>220.75</v>
      </c>
      <c r="AP129" s="1289">
        <v>223.97</v>
      </c>
      <c r="AQ129" s="1289">
        <v>166.14</v>
      </c>
      <c r="AR129" s="1289">
        <v>162.93</v>
      </c>
      <c r="AS129" s="1289">
        <v>127.92</v>
      </c>
      <c r="AT129" s="1289">
        <v>124.7</v>
      </c>
      <c r="AU129" s="1289">
        <v>121.49</v>
      </c>
    </row>
    <row r="130" spans="1:47">
      <c r="A130" s="1296">
        <v>278.85000000000002</v>
      </c>
      <c r="B130" s="1297">
        <v>283.44</v>
      </c>
      <c r="C130" s="1298">
        <v>288.02</v>
      </c>
      <c r="D130" s="1299">
        <v>292.61</v>
      </c>
      <c r="E130" s="1300">
        <v>297.2</v>
      </c>
      <c r="F130" s="1300">
        <v>301.77999999999997</v>
      </c>
      <c r="G130" s="1300">
        <v>306.37</v>
      </c>
      <c r="H130" s="1301">
        <v>310.95</v>
      </c>
      <c r="I130" s="1288">
        <v>315.54000000000002</v>
      </c>
      <c r="J130" s="1288">
        <v>320.13</v>
      </c>
      <c r="K130" s="1288">
        <v>324.70999999999998</v>
      </c>
      <c r="L130" s="1288">
        <v>329.3</v>
      </c>
      <c r="M130" s="1288">
        <v>333.89</v>
      </c>
      <c r="N130" s="1288">
        <v>338.47</v>
      </c>
      <c r="O130" s="1289">
        <v>343.06</v>
      </c>
      <c r="P130" s="1289">
        <v>347.65</v>
      </c>
      <c r="Q130" s="1289">
        <v>352.23</v>
      </c>
      <c r="R130" s="1289">
        <v>356.82</v>
      </c>
      <c r="S130" s="1289">
        <v>274.26</v>
      </c>
      <c r="T130" s="1289">
        <v>269.68</v>
      </c>
      <c r="U130" s="1289">
        <v>201.13</v>
      </c>
      <c r="V130" s="1289">
        <v>196.55</v>
      </c>
      <c r="W130" s="1289">
        <v>191.96</v>
      </c>
      <c r="X130" s="62">
        <v>126</v>
      </c>
      <c r="Y130" s="1296">
        <v>170.66</v>
      </c>
      <c r="Z130" s="1297">
        <v>173.9</v>
      </c>
      <c r="AA130" s="1298">
        <v>177.14</v>
      </c>
      <c r="AB130" s="1299">
        <v>180.38</v>
      </c>
      <c r="AC130" s="1300">
        <v>183.61</v>
      </c>
      <c r="AD130" s="1300">
        <v>186.85</v>
      </c>
      <c r="AE130" s="1285">
        <v>190.09</v>
      </c>
      <c r="AF130" s="1301">
        <v>193.33</v>
      </c>
      <c r="AG130" s="1288">
        <v>196.57</v>
      </c>
      <c r="AH130" s="1288">
        <v>199.81</v>
      </c>
      <c r="AI130" s="1288">
        <v>203.04</v>
      </c>
      <c r="AJ130" s="1288">
        <v>206.28</v>
      </c>
      <c r="AK130" s="1288">
        <v>209.52</v>
      </c>
      <c r="AL130" s="1288">
        <v>212.76</v>
      </c>
      <c r="AM130" s="1289">
        <v>216</v>
      </c>
      <c r="AN130" s="1289">
        <v>219.23</v>
      </c>
      <c r="AO130" s="1289">
        <v>222.47</v>
      </c>
      <c r="AP130" s="1289">
        <v>225.71</v>
      </c>
      <c r="AQ130" s="1289">
        <v>167.42</v>
      </c>
      <c r="AR130" s="1289">
        <v>164.19</v>
      </c>
      <c r="AS130" s="1289">
        <v>128.91</v>
      </c>
      <c r="AT130" s="1289">
        <v>125.67</v>
      </c>
      <c r="AU130" s="1289">
        <v>122.43</v>
      </c>
    </row>
    <row r="131" spans="1:47">
      <c r="A131" s="1296">
        <v>281.14999999999998</v>
      </c>
      <c r="B131" s="1297">
        <v>285.77</v>
      </c>
      <c r="C131" s="1298">
        <v>290.39999999999998</v>
      </c>
      <c r="D131" s="1299">
        <v>295.02</v>
      </c>
      <c r="E131" s="1300">
        <v>299.64</v>
      </c>
      <c r="F131" s="1300">
        <v>304.26</v>
      </c>
      <c r="G131" s="1300">
        <v>308.89</v>
      </c>
      <c r="H131" s="1301">
        <v>313.51</v>
      </c>
      <c r="I131" s="1288">
        <v>318.13</v>
      </c>
      <c r="J131" s="1288">
        <v>322.76</v>
      </c>
      <c r="K131" s="1288">
        <v>327.38</v>
      </c>
      <c r="L131" s="1288">
        <v>332</v>
      </c>
      <c r="M131" s="1288">
        <v>336.62</v>
      </c>
      <c r="N131" s="1288">
        <v>341.25</v>
      </c>
      <c r="O131" s="1289">
        <v>345.87</v>
      </c>
      <c r="P131" s="1289">
        <v>350.49</v>
      </c>
      <c r="Q131" s="1289">
        <v>355.12</v>
      </c>
      <c r="R131" s="1289">
        <v>359.74</v>
      </c>
      <c r="S131" s="1289">
        <v>276.52999999999997</v>
      </c>
      <c r="T131" s="1289">
        <v>271.89999999999998</v>
      </c>
      <c r="U131" s="1289">
        <v>202.78</v>
      </c>
      <c r="V131" s="1289">
        <v>198.16</v>
      </c>
      <c r="W131" s="1289">
        <v>193.54</v>
      </c>
      <c r="X131" s="62">
        <v>127</v>
      </c>
      <c r="Y131" s="1296">
        <v>172.04</v>
      </c>
      <c r="Z131" s="1297">
        <v>175.31299999999999</v>
      </c>
      <c r="AA131" s="1298">
        <v>178.57</v>
      </c>
      <c r="AB131" s="1299">
        <v>181.83</v>
      </c>
      <c r="AC131" s="1300">
        <v>185.1</v>
      </c>
      <c r="AD131" s="1300">
        <v>188.36</v>
      </c>
      <c r="AE131" s="1285">
        <v>191.63</v>
      </c>
      <c r="AF131" s="1301">
        <v>194.89</v>
      </c>
      <c r="AG131" s="1288">
        <v>198.15</v>
      </c>
      <c r="AH131" s="1288">
        <v>201.42</v>
      </c>
      <c r="AI131" s="1288">
        <v>204.68</v>
      </c>
      <c r="AJ131" s="1288">
        <v>207.94</v>
      </c>
      <c r="AK131" s="1288">
        <v>211.21</v>
      </c>
      <c r="AL131" s="1288">
        <v>214.47</v>
      </c>
      <c r="AM131" s="1289">
        <v>217.74</v>
      </c>
      <c r="AN131" s="1289">
        <v>221</v>
      </c>
      <c r="AO131" s="1289">
        <v>224.26</v>
      </c>
      <c r="AP131" s="1289">
        <v>227.53</v>
      </c>
      <c r="AQ131" s="1289">
        <v>168.78</v>
      </c>
      <c r="AR131" s="1289">
        <v>165.51</v>
      </c>
      <c r="AS131" s="1289">
        <v>129.94999999999999</v>
      </c>
      <c r="AT131" s="1289">
        <v>126.69</v>
      </c>
      <c r="AU131" s="1289">
        <v>123.42</v>
      </c>
    </row>
    <row r="132" spans="1:47">
      <c r="A132" s="1296">
        <v>283.19</v>
      </c>
      <c r="B132" s="1297">
        <v>287.83999999999997</v>
      </c>
      <c r="C132" s="1298">
        <v>292.5</v>
      </c>
      <c r="D132" s="1299">
        <v>297.16000000000003</v>
      </c>
      <c r="E132" s="1300">
        <v>301.82</v>
      </c>
      <c r="F132" s="1300">
        <v>306.48</v>
      </c>
      <c r="G132" s="1300">
        <v>311.14</v>
      </c>
      <c r="H132" s="1301">
        <v>315.8</v>
      </c>
      <c r="I132" s="1288">
        <v>320.45999999999998</v>
      </c>
      <c r="J132" s="1288">
        <v>325.12</v>
      </c>
      <c r="K132" s="1288">
        <v>329.78</v>
      </c>
      <c r="L132" s="1288">
        <v>334.4</v>
      </c>
      <c r="M132" s="1288">
        <v>339.1</v>
      </c>
      <c r="N132" s="1288">
        <v>343.76</v>
      </c>
      <c r="O132" s="1289">
        <v>348.41</v>
      </c>
      <c r="P132" s="1289">
        <v>353.07</v>
      </c>
      <c r="Q132" s="1289">
        <v>357.73</v>
      </c>
      <c r="R132" s="1289">
        <v>362.39</v>
      </c>
      <c r="S132" s="1289">
        <v>278.52999999999997</v>
      </c>
      <c r="T132" s="1289">
        <v>273.87</v>
      </c>
      <c r="U132" s="1289">
        <v>204.27</v>
      </c>
      <c r="V132" s="1289">
        <v>199.61</v>
      </c>
      <c r="W132" s="1289">
        <v>196.54</v>
      </c>
      <c r="X132" s="62">
        <v>128</v>
      </c>
      <c r="Y132" s="1296">
        <v>173.42</v>
      </c>
      <c r="Z132" s="1297">
        <v>176.71</v>
      </c>
      <c r="AA132" s="1298">
        <v>180</v>
      </c>
      <c r="AB132" s="1299">
        <v>183.29</v>
      </c>
      <c r="AC132" s="1300">
        <v>186.58</v>
      </c>
      <c r="AD132" s="1300">
        <v>189.87</v>
      </c>
      <c r="AE132" s="1285">
        <v>193.16</v>
      </c>
      <c r="AF132" s="1301">
        <v>196.45</v>
      </c>
      <c r="AG132" s="1288">
        <v>199.74</v>
      </c>
      <c r="AH132" s="1288">
        <v>203.03</v>
      </c>
      <c r="AI132" s="1288">
        <v>206.32</v>
      </c>
      <c r="AJ132" s="1288">
        <v>209.61</v>
      </c>
      <c r="AK132" s="1288">
        <v>212.9</v>
      </c>
      <c r="AL132" s="1288">
        <v>216.19</v>
      </c>
      <c r="AM132" s="1289">
        <v>219.48</v>
      </c>
      <c r="AN132" s="1289">
        <v>222.77</v>
      </c>
      <c r="AO132" s="1289">
        <v>226.06</v>
      </c>
      <c r="AP132" s="1289">
        <v>229.35</v>
      </c>
      <c r="AQ132" s="1289">
        <v>170.13</v>
      </c>
      <c r="AR132" s="1289">
        <v>166.85</v>
      </c>
      <c r="AS132" s="1289">
        <v>130.99</v>
      </c>
      <c r="AT132" s="1289">
        <v>127.7</v>
      </c>
      <c r="AU132" s="1289">
        <v>124.41</v>
      </c>
    </row>
    <row r="133" spans="1:47">
      <c r="A133" s="1296">
        <v>285.5</v>
      </c>
      <c r="B133" s="1297">
        <v>290.2</v>
      </c>
      <c r="C133" s="1298">
        <v>294.89</v>
      </c>
      <c r="D133" s="1299">
        <v>299.58999999999997</v>
      </c>
      <c r="E133" s="1300">
        <v>304.27999999999997</v>
      </c>
      <c r="F133" s="1300">
        <v>308.98</v>
      </c>
      <c r="G133" s="1300">
        <v>313.68</v>
      </c>
      <c r="H133" s="1301">
        <v>318.37</v>
      </c>
      <c r="I133" s="1288">
        <v>323.69</v>
      </c>
      <c r="J133" s="1288">
        <v>327.76</v>
      </c>
      <c r="K133" s="1288">
        <v>332.46</v>
      </c>
      <c r="L133" s="1288">
        <v>337.15</v>
      </c>
      <c r="M133" s="1288">
        <v>341.85</v>
      </c>
      <c r="N133" s="1288">
        <v>346.54</v>
      </c>
      <c r="O133" s="1289">
        <v>351.24</v>
      </c>
      <c r="P133" s="1289">
        <v>355.94</v>
      </c>
      <c r="Q133" s="1289">
        <v>360.63</v>
      </c>
      <c r="R133" s="1289">
        <v>365.33</v>
      </c>
      <c r="S133" s="1289">
        <v>280.81</v>
      </c>
      <c r="T133" s="1289">
        <v>276.11</v>
      </c>
      <c r="U133" s="1289">
        <v>205.93</v>
      </c>
      <c r="V133" s="1289">
        <v>201.23</v>
      </c>
      <c r="W133" s="1289">
        <v>198.13</v>
      </c>
      <c r="X133" s="62">
        <v>129</v>
      </c>
      <c r="Y133" s="1296">
        <v>174.74</v>
      </c>
      <c r="Z133" s="1297">
        <v>178.05</v>
      </c>
      <c r="AA133" s="1298">
        <v>181.37</v>
      </c>
      <c r="AB133" s="1299">
        <v>184.68</v>
      </c>
      <c r="AC133" s="1300">
        <v>188</v>
      </c>
      <c r="AD133" s="1300">
        <v>191.31</v>
      </c>
      <c r="AE133" s="1285">
        <v>194.63</v>
      </c>
      <c r="AF133" s="1301">
        <v>197.94</v>
      </c>
      <c r="AG133" s="1288">
        <v>201.26</v>
      </c>
      <c r="AH133" s="1288">
        <v>204.57</v>
      </c>
      <c r="AI133" s="1288">
        <v>207.89</v>
      </c>
      <c r="AJ133" s="1288">
        <v>211.2</v>
      </c>
      <c r="AK133" s="1288">
        <v>214.52</v>
      </c>
      <c r="AL133" s="1288">
        <v>217.83</v>
      </c>
      <c r="AM133" s="1289">
        <v>221.15</v>
      </c>
      <c r="AN133" s="1289">
        <v>224.46</v>
      </c>
      <c r="AO133" s="1289">
        <v>227.78</v>
      </c>
      <c r="AP133" s="1289">
        <v>231.1</v>
      </c>
      <c r="AQ133" s="1289">
        <v>171.42</v>
      </c>
      <c r="AR133" s="1289">
        <v>168.1</v>
      </c>
      <c r="AS133" s="1289">
        <v>131.99</v>
      </c>
      <c r="AT133" s="1289">
        <v>128.66999999999999</v>
      </c>
      <c r="AU133" s="1289">
        <v>125.36</v>
      </c>
    </row>
    <row r="134" spans="1:47">
      <c r="A134" s="1296">
        <v>287.83</v>
      </c>
      <c r="B134" s="1297">
        <v>292.56</v>
      </c>
      <c r="C134" s="1298">
        <v>297.29000000000002</v>
      </c>
      <c r="D134" s="1299">
        <v>302.02999999999997</v>
      </c>
      <c r="E134" s="1300">
        <v>306.76</v>
      </c>
      <c r="F134" s="1300">
        <v>311.49</v>
      </c>
      <c r="G134" s="1300">
        <v>316.22000000000003</v>
      </c>
      <c r="H134" s="1301">
        <v>320.95</v>
      </c>
      <c r="I134" s="1288">
        <v>325.69</v>
      </c>
      <c r="J134" s="1288">
        <v>330.42</v>
      </c>
      <c r="K134" s="1288">
        <v>335.15</v>
      </c>
      <c r="L134" s="1288">
        <v>339.88</v>
      </c>
      <c r="M134" s="1288">
        <v>344.61</v>
      </c>
      <c r="N134" s="1288">
        <v>349.35</v>
      </c>
      <c r="O134" s="1289">
        <v>354.08</v>
      </c>
      <c r="P134" s="1289">
        <v>358.81</v>
      </c>
      <c r="Q134" s="1289">
        <v>363.54</v>
      </c>
      <c r="R134" s="1289">
        <v>368.27</v>
      </c>
      <c r="S134" s="1289">
        <v>283.10000000000002</v>
      </c>
      <c r="T134" s="1289">
        <v>278.37</v>
      </c>
      <c r="U134" s="1289">
        <v>207.59</v>
      </c>
      <c r="V134" s="1289">
        <v>202.86</v>
      </c>
      <c r="W134" s="1289">
        <v>199.56</v>
      </c>
      <c r="X134" s="62">
        <v>130</v>
      </c>
      <c r="Y134" s="1296">
        <v>176.12</v>
      </c>
      <c r="Z134" s="1297">
        <v>179.46</v>
      </c>
      <c r="AA134" s="1298">
        <v>182.8</v>
      </c>
      <c r="AB134" s="1299">
        <v>186.15</v>
      </c>
      <c r="AC134" s="1300">
        <v>189.49</v>
      </c>
      <c r="AD134" s="1300">
        <v>192.83</v>
      </c>
      <c r="AE134" s="1285">
        <v>196.17</v>
      </c>
      <c r="AF134" s="1301">
        <v>199.51</v>
      </c>
      <c r="AG134" s="1288">
        <v>202.85</v>
      </c>
      <c r="AH134" s="1288">
        <v>206.19</v>
      </c>
      <c r="AI134" s="1288">
        <v>209.53</v>
      </c>
      <c r="AJ134" s="1288">
        <v>212.87</v>
      </c>
      <c r="AK134" s="1288">
        <v>216.21</v>
      </c>
      <c r="AL134" s="1288">
        <v>219.56</v>
      </c>
      <c r="AM134" s="1289">
        <v>222.9</v>
      </c>
      <c r="AN134" s="1289">
        <v>226.24</v>
      </c>
      <c r="AO134" s="1289">
        <v>229.58</v>
      </c>
      <c r="AP134" s="1289">
        <v>232.92</v>
      </c>
      <c r="AQ134" s="1289">
        <v>172.78</v>
      </c>
      <c r="AR134" s="1289">
        <v>169.44</v>
      </c>
      <c r="AS134" s="1289">
        <v>133.03</v>
      </c>
      <c r="AT134" s="1289">
        <v>129.69</v>
      </c>
      <c r="AU134" s="1289">
        <v>126.35</v>
      </c>
    </row>
    <row r="135" spans="1:47">
      <c r="A135" s="1296">
        <v>289.88</v>
      </c>
      <c r="B135" s="1297">
        <v>294.64999999999998</v>
      </c>
      <c r="C135" s="1298">
        <v>299.41000000000003</v>
      </c>
      <c r="D135" s="1299">
        <v>304.18</v>
      </c>
      <c r="E135" s="1300">
        <v>308.95</v>
      </c>
      <c r="F135" s="1300">
        <v>313.72000000000003</v>
      </c>
      <c r="G135" s="1300">
        <v>318.49</v>
      </c>
      <c r="H135" s="1301">
        <v>323.26</v>
      </c>
      <c r="I135" s="1288">
        <v>328.03</v>
      </c>
      <c r="J135" s="1288">
        <v>332.79</v>
      </c>
      <c r="K135" s="1288">
        <v>337.56</v>
      </c>
      <c r="L135" s="1288">
        <v>342.3</v>
      </c>
      <c r="M135" s="1288">
        <v>347.1</v>
      </c>
      <c r="N135" s="1288">
        <v>351.87</v>
      </c>
      <c r="O135" s="1289">
        <v>356.64</v>
      </c>
      <c r="P135" s="1289">
        <v>361.4</v>
      </c>
      <c r="Q135" s="1289">
        <v>366.17</v>
      </c>
      <c r="R135" s="1289">
        <v>370.94</v>
      </c>
      <c r="S135" s="1289">
        <v>285.11</v>
      </c>
      <c r="T135" s="1289">
        <v>280.33999999999997</v>
      </c>
      <c r="U135" s="1289">
        <v>209.09</v>
      </c>
      <c r="V135" s="1289">
        <v>204.32</v>
      </c>
      <c r="W135" s="1289">
        <v>201.16</v>
      </c>
      <c r="X135" s="62">
        <v>131</v>
      </c>
      <c r="Y135" s="1296">
        <v>177.44</v>
      </c>
      <c r="Z135" s="1297">
        <v>180.8</v>
      </c>
      <c r="AA135" s="1298">
        <v>184.17</v>
      </c>
      <c r="AB135" s="1299">
        <v>187.54</v>
      </c>
      <c r="AC135" s="1300">
        <v>190.9</v>
      </c>
      <c r="AD135" s="1300">
        <v>194.27</v>
      </c>
      <c r="AE135" s="1285">
        <v>197.64</v>
      </c>
      <c r="AF135" s="1301">
        <v>201</v>
      </c>
      <c r="AG135" s="1288">
        <v>204.37</v>
      </c>
      <c r="AH135" s="1288">
        <v>207.74</v>
      </c>
      <c r="AI135" s="1288">
        <v>211.1</v>
      </c>
      <c r="AJ135" s="1288">
        <v>214.47</v>
      </c>
      <c r="AK135" s="1288">
        <v>217.84</v>
      </c>
      <c r="AL135" s="1288">
        <v>221.2</v>
      </c>
      <c r="AM135" s="1289">
        <v>224.57</v>
      </c>
      <c r="AN135" s="1289">
        <v>227.94</v>
      </c>
      <c r="AO135" s="1289">
        <v>231.3</v>
      </c>
      <c r="AP135" s="1289">
        <v>234.67</v>
      </c>
      <c r="AQ135" s="1289">
        <v>174.07</v>
      </c>
      <c r="AR135" s="1289">
        <v>170.7</v>
      </c>
      <c r="AS135" s="1289">
        <v>134.03</v>
      </c>
      <c r="AT135" s="1289">
        <v>130.66</v>
      </c>
      <c r="AU135" s="1289">
        <v>127.29</v>
      </c>
    </row>
    <row r="136" spans="1:47">
      <c r="A136" s="1296">
        <v>292.22000000000003</v>
      </c>
      <c r="B136" s="1297">
        <v>297.02999999999997</v>
      </c>
      <c r="C136" s="1298">
        <v>301.83</v>
      </c>
      <c r="D136" s="1299">
        <v>306.64</v>
      </c>
      <c r="E136" s="1300">
        <v>311.44</v>
      </c>
      <c r="F136" s="1300">
        <v>316.25</v>
      </c>
      <c r="G136" s="1300">
        <v>321.05</v>
      </c>
      <c r="H136" s="1301">
        <v>325.89</v>
      </c>
      <c r="I136" s="1288">
        <v>330.66</v>
      </c>
      <c r="J136" s="1288">
        <v>335.46</v>
      </c>
      <c r="K136" s="1288">
        <v>340.27</v>
      </c>
      <c r="L136" s="1288">
        <v>345.07</v>
      </c>
      <c r="M136" s="1288">
        <v>349.88</v>
      </c>
      <c r="N136" s="1288">
        <v>354.68</v>
      </c>
      <c r="O136" s="1289">
        <v>359.49</v>
      </c>
      <c r="P136" s="1289">
        <v>364.29</v>
      </c>
      <c r="Q136" s="1289">
        <v>369.1</v>
      </c>
      <c r="R136" s="1289">
        <v>373.9</v>
      </c>
      <c r="S136" s="1289">
        <v>287.42</v>
      </c>
      <c r="T136" s="1289">
        <v>282.61</v>
      </c>
      <c r="U136" s="1289">
        <v>210.77</v>
      </c>
      <c r="V136" s="1289">
        <v>205.96</v>
      </c>
      <c r="W136" s="1289">
        <v>202.59</v>
      </c>
      <c r="X136" s="62">
        <v>132</v>
      </c>
      <c r="Y136" s="1296">
        <v>178.75</v>
      </c>
      <c r="Z136" s="1297">
        <v>182.14</v>
      </c>
      <c r="AA136" s="1298">
        <v>185.53</v>
      </c>
      <c r="AB136" s="1299">
        <v>188.93</v>
      </c>
      <c r="AC136" s="1300">
        <v>192.32</v>
      </c>
      <c r="AD136" s="1300">
        <v>195.71</v>
      </c>
      <c r="AE136" s="1285">
        <v>199.1</v>
      </c>
      <c r="AF136" s="1301">
        <v>202.5</v>
      </c>
      <c r="AG136" s="1288">
        <v>205.89</v>
      </c>
      <c r="AH136" s="1288">
        <v>209.28</v>
      </c>
      <c r="AI136" s="1288">
        <v>212.67</v>
      </c>
      <c r="AJ136" s="1288">
        <v>216.07</v>
      </c>
      <c r="AK136" s="1288">
        <v>219.46</v>
      </c>
      <c r="AL136" s="1288">
        <v>222.85</v>
      </c>
      <c r="AM136" s="1289">
        <v>226.24</v>
      </c>
      <c r="AN136" s="1289">
        <v>229.64</v>
      </c>
      <c r="AO136" s="1289">
        <v>233.03</v>
      </c>
      <c r="AP136" s="1289">
        <v>236.42</v>
      </c>
      <c r="AQ136" s="1289">
        <v>175.36</v>
      </c>
      <c r="AR136" s="1289">
        <v>171.96</v>
      </c>
      <c r="AS136" s="1289">
        <v>135.03</v>
      </c>
      <c r="AT136" s="1289">
        <v>131.63</v>
      </c>
      <c r="AU136" s="1289">
        <v>128.24</v>
      </c>
    </row>
    <row r="137" spans="1:47">
      <c r="A137" s="1296">
        <v>294.27999999999997</v>
      </c>
      <c r="B137" s="1297">
        <v>299.12</v>
      </c>
      <c r="C137" s="1298">
        <v>303.95999999999998</v>
      </c>
      <c r="D137" s="1299">
        <v>308.8</v>
      </c>
      <c r="E137" s="1300">
        <v>313.64</v>
      </c>
      <c r="F137" s="1300">
        <v>318.48</v>
      </c>
      <c r="G137" s="1300">
        <v>323.33</v>
      </c>
      <c r="H137" s="1301">
        <v>328.17</v>
      </c>
      <c r="I137" s="1288">
        <v>333.01</v>
      </c>
      <c r="J137" s="1288">
        <v>337.85</v>
      </c>
      <c r="K137" s="1288">
        <v>342.42</v>
      </c>
      <c r="L137" s="1288">
        <v>347.53</v>
      </c>
      <c r="M137" s="1288">
        <v>352.37</v>
      </c>
      <c r="N137" s="1288">
        <v>357.21</v>
      </c>
      <c r="O137" s="1289">
        <v>362.06</v>
      </c>
      <c r="P137" s="1289">
        <v>366.9</v>
      </c>
      <c r="Q137" s="1289">
        <v>371.74</v>
      </c>
      <c r="R137" s="1289">
        <v>376.58</v>
      </c>
      <c r="S137" s="1289">
        <v>289.44</v>
      </c>
      <c r="T137" s="1289">
        <v>284.60000000000002</v>
      </c>
      <c r="U137" s="1289">
        <v>212.27</v>
      </c>
      <c r="V137" s="1289">
        <v>207.43</v>
      </c>
      <c r="W137" s="1289">
        <v>204.2</v>
      </c>
      <c r="X137" s="62">
        <v>133</v>
      </c>
      <c r="Y137" s="1296">
        <v>180.14</v>
      </c>
      <c r="Z137" s="1297">
        <v>183.56</v>
      </c>
      <c r="AA137" s="1298">
        <v>186.98</v>
      </c>
      <c r="AB137" s="1299">
        <v>190.4</v>
      </c>
      <c r="AC137" s="1300">
        <v>193.82</v>
      </c>
      <c r="AD137" s="1300">
        <v>197.23</v>
      </c>
      <c r="AE137" s="1285">
        <v>200.65</v>
      </c>
      <c r="AF137" s="1301">
        <v>204.07</v>
      </c>
      <c r="AG137" s="1288">
        <v>207.49</v>
      </c>
      <c r="AH137" s="1288">
        <v>210.91</v>
      </c>
      <c r="AI137" s="1288">
        <v>214.32</v>
      </c>
      <c r="AJ137" s="1288">
        <v>217.74</v>
      </c>
      <c r="AK137" s="1288">
        <v>221.16</v>
      </c>
      <c r="AL137" s="1288">
        <v>224.58</v>
      </c>
      <c r="AM137" s="1289">
        <v>228</v>
      </c>
      <c r="AN137" s="1289">
        <v>231.41</v>
      </c>
      <c r="AO137" s="1289">
        <v>234.83</v>
      </c>
      <c r="AP137" s="1289">
        <v>238.25</v>
      </c>
      <c r="AQ137" s="1289">
        <v>176.72</v>
      </c>
      <c r="AR137" s="1289">
        <v>173.31</v>
      </c>
      <c r="AS137" s="1289">
        <v>136.07</v>
      </c>
      <c r="AT137" s="1289">
        <v>132.65</v>
      </c>
      <c r="AU137" s="1289">
        <v>129.24</v>
      </c>
    </row>
    <row r="138" spans="1:47">
      <c r="A138" s="1296">
        <v>296.64</v>
      </c>
      <c r="B138" s="1297">
        <v>301.52</v>
      </c>
      <c r="C138" s="1298">
        <v>306.39999999999998</v>
      </c>
      <c r="D138" s="1299">
        <v>311.27</v>
      </c>
      <c r="E138" s="1300">
        <v>316.14999999999998</v>
      </c>
      <c r="F138" s="1300">
        <v>321.02999999999997</v>
      </c>
      <c r="G138" s="1300">
        <v>325.91000000000003</v>
      </c>
      <c r="H138" s="1301">
        <v>330.78</v>
      </c>
      <c r="I138" s="1288">
        <v>335.66</v>
      </c>
      <c r="J138" s="1288">
        <v>340.54</v>
      </c>
      <c r="K138" s="1288">
        <v>345.42</v>
      </c>
      <c r="L138" s="1288">
        <v>350.29</v>
      </c>
      <c r="M138" s="1288">
        <v>355.17</v>
      </c>
      <c r="N138" s="1288">
        <v>360.05</v>
      </c>
      <c r="O138" s="1289">
        <v>364.93</v>
      </c>
      <c r="P138" s="1289">
        <v>369.8</v>
      </c>
      <c r="Q138" s="1289">
        <v>374.68</v>
      </c>
      <c r="R138" s="1289">
        <v>379.56</v>
      </c>
      <c r="S138" s="1289">
        <v>291.76</v>
      </c>
      <c r="T138" s="1289">
        <v>286.89</v>
      </c>
      <c r="U138" s="1289">
        <v>213.95</v>
      </c>
      <c r="V138" s="1289">
        <v>209.08</v>
      </c>
      <c r="W138" s="1289">
        <v>205.64</v>
      </c>
      <c r="X138" s="62">
        <v>134</v>
      </c>
      <c r="Y138" s="1296">
        <v>181.46</v>
      </c>
      <c r="Z138" s="1297">
        <v>184.9</v>
      </c>
      <c r="AA138" s="1298">
        <v>188.35</v>
      </c>
      <c r="AB138" s="1299">
        <v>191.79</v>
      </c>
      <c r="AC138" s="1300">
        <v>195.32</v>
      </c>
      <c r="AD138" s="1300">
        <v>198.68</v>
      </c>
      <c r="AE138" s="1285">
        <v>202.12</v>
      </c>
      <c r="AF138" s="1301">
        <v>205.57</v>
      </c>
      <c r="AG138" s="1288">
        <v>209.01</v>
      </c>
      <c r="AH138" s="1288">
        <v>212.45</v>
      </c>
      <c r="AI138" s="1288">
        <v>215.9</v>
      </c>
      <c r="AJ138" s="1288">
        <v>219.34</v>
      </c>
      <c r="AK138" s="1288">
        <v>222.78</v>
      </c>
      <c r="AL138" s="1288">
        <v>226.23</v>
      </c>
      <c r="AM138" s="1289">
        <v>229.67</v>
      </c>
      <c r="AN138" s="1289">
        <v>233.12</v>
      </c>
      <c r="AO138" s="1289">
        <v>236.56</v>
      </c>
      <c r="AP138" s="1289">
        <v>240</v>
      </c>
      <c r="AQ138" s="1289">
        <v>178.01</v>
      </c>
      <c r="AR138" s="1289">
        <v>174.57</v>
      </c>
      <c r="AS138" s="1289">
        <v>137.07</v>
      </c>
      <c r="AT138" s="1289">
        <v>133.63</v>
      </c>
      <c r="AU138" s="1289">
        <v>130.18</v>
      </c>
    </row>
    <row r="139" spans="1:47">
      <c r="A139" s="1296">
        <v>297.70999999999998</v>
      </c>
      <c r="B139" s="1297">
        <v>303.62</v>
      </c>
      <c r="C139" s="1298">
        <v>308.52999999999997</v>
      </c>
      <c r="D139" s="1299">
        <v>313.45</v>
      </c>
      <c r="E139" s="1300">
        <v>318.36</v>
      </c>
      <c r="F139" s="1300">
        <v>323.27999999999997</v>
      </c>
      <c r="G139" s="1300">
        <v>328.19</v>
      </c>
      <c r="H139" s="1301">
        <v>333.1</v>
      </c>
      <c r="I139" s="1288">
        <v>338.02</v>
      </c>
      <c r="J139" s="1288">
        <v>342.93</v>
      </c>
      <c r="K139" s="1288">
        <v>347.85</v>
      </c>
      <c r="L139" s="1288">
        <v>352.76</v>
      </c>
      <c r="M139" s="1288">
        <v>357.67</v>
      </c>
      <c r="N139" s="1288">
        <v>362.59</v>
      </c>
      <c r="O139" s="1289">
        <v>367.5</v>
      </c>
      <c r="P139" s="1289">
        <v>372.42</v>
      </c>
      <c r="Q139" s="1289">
        <v>377.33</v>
      </c>
      <c r="R139" s="1289">
        <v>382.24</v>
      </c>
      <c r="S139" s="1289">
        <v>293.79000000000002</v>
      </c>
      <c r="T139" s="1289">
        <v>288.88</v>
      </c>
      <c r="U139" s="1289">
        <v>215.46</v>
      </c>
      <c r="V139" s="1289">
        <v>210.55</v>
      </c>
      <c r="W139" s="1289">
        <v>207.08</v>
      </c>
      <c r="X139" s="62">
        <v>135</v>
      </c>
      <c r="Y139" s="1296">
        <v>182.86</v>
      </c>
      <c r="Z139" s="1297">
        <v>186.33</v>
      </c>
      <c r="AA139" s="1298">
        <v>189.8</v>
      </c>
      <c r="AB139" s="1299">
        <v>193.27</v>
      </c>
      <c r="AC139" s="1300">
        <v>196.74</v>
      </c>
      <c r="AD139" s="1300">
        <v>200.2</v>
      </c>
      <c r="AE139" s="1285">
        <v>203.67</v>
      </c>
      <c r="AF139" s="1301">
        <v>207.14</v>
      </c>
      <c r="AG139" s="1288">
        <v>210.61</v>
      </c>
      <c r="AH139" s="1288">
        <v>214.08</v>
      </c>
      <c r="AI139" s="1288">
        <v>217.55</v>
      </c>
      <c r="AJ139" s="1288">
        <v>221.02</v>
      </c>
      <c r="AK139" s="1288">
        <v>224.49</v>
      </c>
      <c r="AL139" s="1288">
        <v>227.96</v>
      </c>
      <c r="AM139" s="1289">
        <v>231.43</v>
      </c>
      <c r="AN139" s="1289">
        <v>234.9</v>
      </c>
      <c r="AO139" s="1289">
        <v>238.37</v>
      </c>
      <c r="AP139" s="1289">
        <v>241.84</v>
      </c>
      <c r="AQ139" s="1289">
        <v>179.39</v>
      </c>
      <c r="AR139" s="1289">
        <v>175.92</v>
      </c>
      <c r="AS139" s="1289">
        <v>138.12</v>
      </c>
      <c r="AT139" s="1289">
        <v>134.65</v>
      </c>
      <c r="AU139" s="1289">
        <v>131.18</v>
      </c>
    </row>
    <row r="140" spans="1:47">
      <c r="A140" s="1296">
        <v>300.77999999999997</v>
      </c>
      <c r="B140" s="1297">
        <v>305.73</v>
      </c>
      <c r="C140" s="1298">
        <v>310.68</v>
      </c>
      <c r="D140" s="1299">
        <v>315.63</v>
      </c>
      <c r="E140" s="1300">
        <v>320.58</v>
      </c>
      <c r="F140" s="1300">
        <v>325.33</v>
      </c>
      <c r="G140" s="1300">
        <v>330.48</v>
      </c>
      <c r="H140" s="1301">
        <v>335.43</v>
      </c>
      <c r="I140" s="1288">
        <v>340.38</v>
      </c>
      <c r="J140" s="1288">
        <v>345.33</v>
      </c>
      <c r="K140" s="1288">
        <v>350.28</v>
      </c>
      <c r="L140" s="1288">
        <v>355.23</v>
      </c>
      <c r="M140" s="1288">
        <v>360.18</v>
      </c>
      <c r="N140" s="1288">
        <v>365.13</v>
      </c>
      <c r="O140" s="1289">
        <v>370.08</v>
      </c>
      <c r="P140" s="1289">
        <v>375.03</v>
      </c>
      <c r="Q140" s="1289">
        <v>379.98</v>
      </c>
      <c r="R140" s="1289">
        <v>384.93</v>
      </c>
      <c r="S140" s="1289">
        <v>295.83</v>
      </c>
      <c r="T140" s="1289">
        <v>290.87</v>
      </c>
      <c r="U140" s="1289">
        <v>216.98</v>
      </c>
      <c r="V140" s="1289">
        <v>212.03</v>
      </c>
      <c r="W140" s="1289">
        <v>208.7</v>
      </c>
      <c r="X140" s="62">
        <v>136</v>
      </c>
      <c r="Y140" s="1296">
        <v>184.18</v>
      </c>
      <c r="Z140" s="1297">
        <v>187.67</v>
      </c>
      <c r="AA140" s="1298">
        <v>191.17</v>
      </c>
      <c r="AB140" s="1299">
        <v>194.66</v>
      </c>
      <c r="AC140" s="1300">
        <v>198.16</v>
      </c>
      <c r="AD140" s="1300">
        <v>201.65</v>
      </c>
      <c r="AE140" s="1285">
        <v>205.15</v>
      </c>
      <c r="AF140" s="1301">
        <v>208.64</v>
      </c>
      <c r="AG140" s="1288">
        <v>212.14</v>
      </c>
      <c r="AH140" s="1288">
        <v>215.63</v>
      </c>
      <c r="AI140" s="1288">
        <v>219.13</v>
      </c>
      <c r="AJ140" s="1288">
        <v>222.62</v>
      </c>
      <c r="AK140" s="1288">
        <v>226.12</v>
      </c>
      <c r="AL140" s="1288">
        <v>229.61</v>
      </c>
      <c r="AM140" s="1289">
        <v>233.11</v>
      </c>
      <c r="AN140" s="1289">
        <v>236.6</v>
      </c>
      <c r="AO140" s="1289">
        <v>240.1</v>
      </c>
      <c r="AP140" s="1289">
        <v>243.59</v>
      </c>
      <c r="AQ140" s="1289">
        <v>180.68</v>
      </c>
      <c r="AR140" s="1289">
        <v>177.19</v>
      </c>
      <c r="AS140" s="1289">
        <v>139.12</v>
      </c>
      <c r="AT140" s="1289">
        <v>135.63</v>
      </c>
      <c r="AU140" s="1289">
        <v>132.13</v>
      </c>
    </row>
    <row r="141" spans="1:47">
      <c r="A141" s="1296">
        <v>303.16000000000003</v>
      </c>
      <c r="B141" s="1297">
        <v>308.14999999999998</v>
      </c>
      <c r="C141" s="1298">
        <v>313.14</v>
      </c>
      <c r="D141" s="1299">
        <v>318.12</v>
      </c>
      <c r="E141" s="1300">
        <v>323.11</v>
      </c>
      <c r="F141" s="1300">
        <v>328.1</v>
      </c>
      <c r="G141" s="1300">
        <v>333.08</v>
      </c>
      <c r="H141" s="1301">
        <v>338.07</v>
      </c>
      <c r="I141" s="1288">
        <v>343.06</v>
      </c>
      <c r="J141" s="1288">
        <v>348.04</v>
      </c>
      <c r="K141" s="1288">
        <v>353.03</v>
      </c>
      <c r="L141" s="1288">
        <v>358.02</v>
      </c>
      <c r="M141" s="1288">
        <v>363</v>
      </c>
      <c r="N141" s="1288">
        <v>367.99</v>
      </c>
      <c r="O141" s="1289">
        <v>372.98</v>
      </c>
      <c r="P141" s="1289">
        <v>377.96</v>
      </c>
      <c r="Q141" s="1289">
        <v>382.95</v>
      </c>
      <c r="R141" s="1289">
        <v>387.94</v>
      </c>
      <c r="S141" s="1289">
        <v>298.17</v>
      </c>
      <c r="T141" s="1289">
        <v>293.19</v>
      </c>
      <c r="U141" s="1289">
        <v>218.67</v>
      </c>
      <c r="V141" s="1289">
        <v>213.69</v>
      </c>
      <c r="W141" s="1289">
        <v>210</v>
      </c>
      <c r="X141" s="62">
        <v>137</v>
      </c>
      <c r="Y141" s="1296">
        <v>185.58</v>
      </c>
      <c r="Z141" s="1297">
        <v>189.1</v>
      </c>
      <c r="AA141" s="1298">
        <v>192.62</v>
      </c>
      <c r="AB141" s="1299">
        <v>196.14</v>
      </c>
      <c r="AC141" s="1300">
        <v>199.66</v>
      </c>
      <c r="AD141" s="1300">
        <v>203.18</v>
      </c>
      <c r="AE141" s="1285">
        <v>206.7</v>
      </c>
      <c r="AF141" s="1301">
        <v>210.23</v>
      </c>
      <c r="AG141" s="1288">
        <v>213.75</v>
      </c>
      <c r="AH141" s="1288">
        <v>217.27</v>
      </c>
      <c r="AI141" s="1288">
        <v>220.79</v>
      </c>
      <c r="AJ141" s="1288">
        <v>224.31</v>
      </c>
      <c r="AK141" s="1288">
        <v>227.83</v>
      </c>
      <c r="AL141" s="1288">
        <v>231.35</v>
      </c>
      <c r="AM141" s="1289">
        <v>234.87</v>
      </c>
      <c r="AN141" s="1289">
        <v>238.39</v>
      </c>
      <c r="AO141" s="1289">
        <v>241.91</v>
      </c>
      <c r="AP141" s="1289">
        <v>245.43</v>
      </c>
      <c r="AQ141" s="1289">
        <v>182.06</v>
      </c>
      <c r="AR141" s="1289">
        <v>178.54</v>
      </c>
      <c r="AS141" s="1289">
        <v>140.18</v>
      </c>
      <c r="AT141" s="1289">
        <v>136.66</v>
      </c>
      <c r="AU141" s="1289">
        <v>133.13</v>
      </c>
    </row>
    <row r="142" spans="1:47">
      <c r="A142" s="1296">
        <v>307.64999999999998</v>
      </c>
      <c r="B142" s="1297">
        <v>310.26</v>
      </c>
      <c r="C142" s="1298">
        <v>315.29000000000002</v>
      </c>
      <c r="D142" s="1299">
        <v>320.31</v>
      </c>
      <c r="E142" s="1300">
        <v>325.33</v>
      </c>
      <c r="F142" s="1300">
        <v>330.36</v>
      </c>
      <c r="G142" s="1300">
        <v>335.38</v>
      </c>
      <c r="H142" s="1301">
        <v>340.4</v>
      </c>
      <c r="I142" s="1288">
        <v>345.43</v>
      </c>
      <c r="J142" s="1288">
        <v>350.45</v>
      </c>
      <c r="K142" s="1288">
        <v>355.47</v>
      </c>
      <c r="L142" s="1288">
        <v>360.5</v>
      </c>
      <c r="M142" s="1288">
        <v>365.52</v>
      </c>
      <c r="N142" s="1288">
        <v>370.54</v>
      </c>
      <c r="O142" s="1289">
        <v>375.57</v>
      </c>
      <c r="P142" s="1289">
        <v>380.59</v>
      </c>
      <c r="Q142" s="1289">
        <v>385.61</v>
      </c>
      <c r="R142" s="1289">
        <v>390.63</v>
      </c>
      <c r="S142" s="1289">
        <v>300.22000000000003</v>
      </c>
      <c r="T142" s="1289">
        <v>295.19</v>
      </c>
      <c r="U142" s="1289">
        <v>220.19</v>
      </c>
      <c r="V142" s="1289">
        <v>215.17</v>
      </c>
      <c r="W142" s="1289">
        <v>15</v>
      </c>
      <c r="X142" s="62">
        <v>138</v>
      </c>
      <c r="Y142" s="1296">
        <v>186.9</v>
      </c>
      <c r="Z142" s="1297">
        <v>190.45</v>
      </c>
      <c r="AA142" s="1298">
        <v>193.99</v>
      </c>
      <c r="AB142" s="1299">
        <v>197.54</v>
      </c>
      <c r="AC142" s="1300">
        <v>201.09</v>
      </c>
      <c r="AD142" s="1300">
        <v>204.63</v>
      </c>
      <c r="AE142" s="1285">
        <v>208.18</v>
      </c>
      <c r="AF142" s="1301">
        <v>211.73</v>
      </c>
      <c r="AG142" s="1288">
        <v>215.27</v>
      </c>
      <c r="AH142" s="1288">
        <v>218.82</v>
      </c>
      <c r="AI142" s="1288">
        <v>222.37</v>
      </c>
      <c r="AJ142" s="1288">
        <v>225.91</v>
      </c>
      <c r="AK142" s="1288">
        <v>229.46</v>
      </c>
      <c r="AL142" s="1288">
        <v>233.01</v>
      </c>
      <c r="AM142" s="1289">
        <v>236.55</v>
      </c>
      <c r="AN142" s="1289">
        <v>240.1</v>
      </c>
      <c r="AO142" s="1289">
        <v>243.65</v>
      </c>
      <c r="AP142" s="1289">
        <v>247.19</v>
      </c>
      <c r="AQ142" s="1289">
        <v>183.35</v>
      </c>
      <c r="AR142" s="1289">
        <v>179.81</v>
      </c>
      <c r="AS142" s="1289">
        <v>141.18</v>
      </c>
      <c r="AT142" s="1289">
        <v>137.63</v>
      </c>
      <c r="AU142" s="1289">
        <v>134.09</v>
      </c>
    </row>
    <row r="143" spans="1:47">
      <c r="A143" s="1296">
        <v>309.73</v>
      </c>
      <c r="B143" s="1297">
        <v>312.70999999999998</v>
      </c>
      <c r="C143" s="1298">
        <v>317.76</v>
      </c>
      <c r="D143" s="1299">
        <v>322.82</v>
      </c>
      <c r="E143" s="1300">
        <v>327.88</v>
      </c>
      <c r="F143" s="1300">
        <v>332.34</v>
      </c>
      <c r="G143" s="1300">
        <v>338</v>
      </c>
      <c r="H143" s="1301">
        <v>343.06</v>
      </c>
      <c r="I143" s="1288">
        <v>348.12</v>
      </c>
      <c r="J143" s="1288">
        <v>353.18</v>
      </c>
      <c r="K143" s="1288">
        <v>358.24</v>
      </c>
      <c r="L143" s="1288">
        <v>363.3</v>
      </c>
      <c r="M143" s="1288">
        <v>368.36</v>
      </c>
      <c r="N143" s="1288">
        <v>373.42</v>
      </c>
      <c r="O143" s="1289">
        <v>378.48</v>
      </c>
      <c r="P143" s="1289">
        <v>383.54</v>
      </c>
      <c r="Q143" s="1289">
        <v>388.6</v>
      </c>
      <c r="R143" s="1289">
        <v>393.66</v>
      </c>
      <c r="S143" s="1289">
        <v>302.58999999999997</v>
      </c>
      <c r="T143" s="1289">
        <v>297.52999999999997</v>
      </c>
      <c r="U143" s="1289">
        <v>221.9</v>
      </c>
      <c r="V143" s="1289">
        <v>216.84</v>
      </c>
      <c r="W143" s="1289">
        <v>211.78</v>
      </c>
      <c r="X143" s="62">
        <v>139</v>
      </c>
      <c r="Y143" s="1296">
        <v>188.22</v>
      </c>
      <c r="Z143" s="1297">
        <v>191.79</v>
      </c>
      <c r="AA143" s="1298">
        <v>195.37</v>
      </c>
      <c r="AB143" s="1299">
        <v>198.94</v>
      </c>
      <c r="AC143" s="1300">
        <v>202.51</v>
      </c>
      <c r="AD143" s="1300">
        <v>206.08</v>
      </c>
      <c r="AE143" s="1285">
        <v>209.66</v>
      </c>
      <c r="AF143" s="1301">
        <v>213.23</v>
      </c>
      <c r="AG143" s="1288">
        <v>216.8</v>
      </c>
      <c r="AH143" s="1288">
        <v>220.37</v>
      </c>
      <c r="AI143" s="1288">
        <v>223.95</v>
      </c>
      <c r="AJ143" s="1288">
        <v>227.52</v>
      </c>
      <c r="AK143" s="1288">
        <v>231.09</v>
      </c>
      <c r="AL143" s="1288">
        <v>234.66</v>
      </c>
      <c r="AM143" s="1289">
        <v>238.23</v>
      </c>
      <c r="AN143" s="1289">
        <v>241.81</v>
      </c>
      <c r="AO143" s="1289">
        <v>245.38</v>
      </c>
      <c r="AP143" s="1289">
        <v>248.95</v>
      </c>
      <c r="AQ143" s="1289">
        <v>184.65</v>
      </c>
      <c r="AR143" s="1289">
        <v>181.08</v>
      </c>
      <c r="AS143" s="1289">
        <v>142.18</v>
      </c>
      <c r="AT143" s="1289">
        <v>138.61000000000001</v>
      </c>
      <c r="AU143" s="1289">
        <v>135.04</v>
      </c>
    </row>
    <row r="144" spans="1:47">
      <c r="A144" s="1296">
        <v>311.83</v>
      </c>
      <c r="B144" s="1297">
        <v>314.83</v>
      </c>
      <c r="C144" s="1298">
        <v>319.93</v>
      </c>
      <c r="D144" s="1299">
        <v>325.02</v>
      </c>
      <c r="E144" s="1300">
        <v>330.12</v>
      </c>
      <c r="F144" s="1300">
        <v>335.21</v>
      </c>
      <c r="G144" s="1300">
        <v>340.31</v>
      </c>
      <c r="H144" s="1301">
        <v>345.41</v>
      </c>
      <c r="I144" s="1288">
        <v>350.5</v>
      </c>
      <c r="J144" s="1288">
        <v>355.6</v>
      </c>
      <c r="K144" s="1288">
        <v>360.69</v>
      </c>
      <c r="L144" s="1288">
        <v>365.79</v>
      </c>
      <c r="M144" s="1288">
        <v>370.89</v>
      </c>
      <c r="N144" s="1288">
        <v>375.98</v>
      </c>
      <c r="O144" s="1289">
        <v>381.08</v>
      </c>
      <c r="P144" s="1289">
        <v>386.17</v>
      </c>
      <c r="Q144" s="1289">
        <v>391.27</v>
      </c>
      <c r="R144" s="1289">
        <v>396.37</v>
      </c>
      <c r="S144" s="1289">
        <v>304.64</v>
      </c>
      <c r="T144" s="1289">
        <v>299.54000000000002</v>
      </c>
      <c r="U144" s="1289">
        <v>223.42</v>
      </c>
      <c r="V144" s="1289">
        <v>218.33</v>
      </c>
      <c r="W144" s="1289">
        <v>213.23</v>
      </c>
      <c r="X144" s="62">
        <v>140</v>
      </c>
      <c r="Y144" s="1296">
        <v>189.55</v>
      </c>
      <c r="Z144" s="1297">
        <v>193.14</v>
      </c>
      <c r="AA144" s="1298">
        <v>196.74</v>
      </c>
      <c r="AB144" s="1299">
        <v>200.34</v>
      </c>
      <c r="AC144" s="1300">
        <v>203.94</v>
      </c>
      <c r="AD144" s="1300">
        <v>207.54</v>
      </c>
      <c r="AE144" s="1285">
        <v>211.13</v>
      </c>
      <c r="AF144" s="1301">
        <v>214.73</v>
      </c>
      <c r="AG144" s="1288">
        <v>218.33</v>
      </c>
      <c r="AH144" s="1288">
        <v>221.93</v>
      </c>
      <c r="AI144" s="1288">
        <v>225.53</v>
      </c>
      <c r="AJ144" s="1288">
        <v>229.12</v>
      </c>
      <c r="AK144" s="1288">
        <v>232.72</v>
      </c>
      <c r="AL144" s="1288">
        <v>236.32</v>
      </c>
      <c r="AM144" s="1289">
        <v>239.92</v>
      </c>
      <c r="AN144" s="1289">
        <v>243.52</v>
      </c>
      <c r="AO144" s="1289">
        <v>247.11</v>
      </c>
      <c r="AP144" s="1289">
        <v>250.71</v>
      </c>
      <c r="AQ144" s="1289">
        <v>185.95</v>
      </c>
      <c r="AR144" s="1289">
        <v>182.35</v>
      </c>
      <c r="AS144" s="1289">
        <v>143.19</v>
      </c>
      <c r="AT144" s="1289">
        <v>139.59</v>
      </c>
      <c r="AU144" s="1289">
        <v>135.99</v>
      </c>
    </row>
    <row r="145" spans="1:47">
      <c r="A145" s="1296">
        <v>314.26</v>
      </c>
      <c r="B145" s="1297">
        <v>316.95999999999998</v>
      </c>
      <c r="C145" s="1298">
        <v>322.08999999999997</v>
      </c>
      <c r="D145" s="1299">
        <v>327.22000000000003</v>
      </c>
      <c r="E145" s="1300">
        <v>332.36</v>
      </c>
      <c r="F145" s="1300">
        <v>337.49</v>
      </c>
      <c r="G145" s="1300">
        <v>342.62</v>
      </c>
      <c r="H145" s="1301">
        <v>347.75</v>
      </c>
      <c r="I145" s="1288">
        <v>352.89</v>
      </c>
      <c r="J145" s="1288">
        <v>358.02</v>
      </c>
      <c r="K145" s="1288">
        <v>363.15</v>
      </c>
      <c r="L145" s="1288">
        <v>368.28</v>
      </c>
      <c r="M145" s="1288">
        <v>373.42</v>
      </c>
      <c r="N145" s="1288">
        <v>378.55</v>
      </c>
      <c r="O145" s="1289">
        <v>383.68</v>
      </c>
      <c r="P145" s="1289">
        <v>388.81</v>
      </c>
      <c r="Q145" s="1289">
        <v>393.94</v>
      </c>
      <c r="R145" s="1289">
        <v>399.08</v>
      </c>
      <c r="S145" s="1289">
        <v>306.69</v>
      </c>
      <c r="T145" s="1289">
        <v>301.56</v>
      </c>
      <c r="U145" s="1289">
        <v>224.95</v>
      </c>
      <c r="V145" s="1289">
        <v>219.82</v>
      </c>
      <c r="W145" s="1289">
        <v>214.69</v>
      </c>
      <c r="X145" s="62">
        <v>141</v>
      </c>
      <c r="Y145" s="1296">
        <v>190.96</v>
      </c>
      <c r="Z145" s="1297">
        <v>194.58</v>
      </c>
      <c r="AA145" s="1298">
        <v>198.2</v>
      </c>
      <c r="AB145" s="1299">
        <v>201.83</v>
      </c>
      <c r="AC145" s="1300">
        <v>205.45</v>
      </c>
      <c r="AD145" s="1300">
        <v>209.08</v>
      </c>
      <c r="AE145" s="1285">
        <v>212.7</v>
      </c>
      <c r="AF145" s="1301">
        <v>216.32</v>
      </c>
      <c r="AG145" s="1288">
        <v>219.95</v>
      </c>
      <c r="AH145" s="1288">
        <v>223.57</v>
      </c>
      <c r="AI145" s="1288">
        <v>227.19</v>
      </c>
      <c r="AJ145" s="1288">
        <v>230.82</v>
      </c>
      <c r="AK145" s="1288">
        <v>234.44</v>
      </c>
      <c r="AL145" s="1288">
        <v>238.07</v>
      </c>
      <c r="AM145" s="1289">
        <v>241.69</v>
      </c>
      <c r="AN145" s="1289">
        <v>245.31</v>
      </c>
      <c r="AO145" s="1289">
        <v>248.94</v>
      </c>
      <c r="AP145" s="1289">
        <v>252.56</v>
      </c>
      <c r="AQ145" s="1289">
        <v>187.33</v>
      </c>
      <c r="AR145" s="1289">
        <v>183.71</v>
      </c>
      <c r="AS145" s="1289">
        <v>144.24</v>
      </c>
      <c r="AT145" s="1289">
        <v>140.62</v>
      </c>
      <c r="AU145" s="1289">
        <v>137</v>
      </c>
    </row>
    <row r="146" spans="1:47">
      <c r="A146" s="1296">
        <v>316.36</v>
      </c>
      <c r="B146" s="1297">
        <v>319.43</v>
      </c>
      <c r="C146" s="1298">
        <v>324.60000000000002</v>
      </c>
      <c r="D146" s="1299">
        <v>329.77</v>
      </c>
      <c r="E146" s="1300">
        <v>334.93</v>
      </c>
      <c r="F146" s="1300">
        <v>340.1</v>
      </c>
      <c r="G146" s="1300">
        <v>345.27</v>
      </c>
      <c r="H146" s="1301">
        <v>350.44</v>
      </c>
      <c r="I146" s="1288">
        <v>355.61</v>
      </c>
      <c r="J146" s="1288">
        <v>360.78</v>
      </c>
      <c r="K146" s="1288">
        <v>365.95</v>
      </c>
      <c r="L146" s="1288">
        <v>371.12</v>
      </c>
      <c r="M146" s="1288">
        <v>376.28</v>
      </c>
      <c r="N146" s="1288">
        <v>381.45</v>
      </c>
      <c r="O146" s="1289">
        <v>386.62</v>
      </c>
      <c r="P146" s="1289">
        <v>397.79</v>
      </c>
      <c r="Q146" s="1289">
        <v>396.96</v>
      </c>
      <c r="R146" s="1289">
        <v>402.13</v>
      </c>
      <c r="S146" s="1289">
        <v>309.08999999999997</v>
      </c>
      <c r="T146" s="1289">
        <v>303.92</v>
      </c>
      <c r="U146" s="1289">
        <v>226.67</v>
      </c>
      <c r="V146" s="1289">
        <v>221.51</v>
      </c>
      <c r="W146" s="1289">
        <v>216.34</v>
      </c>
      <c r="X146" s="62">
        <v>142</v>
      </c>
      <c r="Y146" s="1296">
        <v>192.28</v>
      </c>
      <c r="Z146" s="1297">
        <v>195.93</v>
      </c>
      <c r="AA146" s="1298">
        <v>199.58</v>
      </c>
      <c r="AB146" s="1299">
        <v>203.23</v>
      </c>
      <c r="AC146" s="1300">
        <v>206.88</v>
      </c>
      <c r="AD146" s="1300">
        <v>210.53</v>
      </c>
      <c r="AE146" s="1285">
        <v>214.18</v>
      </c>
      <c r="AF146" s="1301">
        <v>217.83</v>
      </c>
      <c r="AG146" s="1288">
        <v>221.48</v>
      </c>
      <c r="AH146" s="1288">
        <v>225.13</v>
      </c>
      <c r="AI146" s="1288">
        <v>228.78</v>
      </c>
      <c r="AJ146" s="1288">
        <v>232.43</v>
      </c>
      <c r="AK146" s="1288">
        <v>236.08</v>
      </c>
      <c r="AL146" s="1288">
        <v>239.73</v>
      </c>
      <c r="AM146" s="1289">
        <v>243.37</v>
      </c>
      <c r="AN146" s="1289">
        <v>247.02</v>
      </c>
      <c r="AO146" s="1289">
        <v>250.64</v>
      </c>
      <c r="AP146" s="1289">
        <v>254.32</v>
      </c>
      <c r="AQ146" s="1289">
        <v>188.63</v>
      </c>
      <c r="AR146" s="1289">
        <v>184.98</v>
      </c>
      <c r="AS146" s="1289">
        <v>145.285</v>
      </c>
      <c r="AT146" s="1289">
        <v>141.6</v>
      </c>
      <c r="AU146" s="1289">
        <v>137.94999999999999</v>
      </c>
    </row>
    <row r="147" spans="1:47">
      <c r="A147" s="1296">
        <v>318.47000000000003</v>
      </c>
      <c r="B147" s="1297">
        <v>321.57</v>
      </c>
      <c r="C147" s="1298">
        <v>326.77</v>
      </c>
      <c r="D147" s="1299">
        <v>331.98</v>
      </c>
      <c r="E147" s="1300">
        <v>337.18</v>
      </c>
      <c r="F147" s="1300">
        <v>342.39</v>
      </c>
      <c r="G147" s="1300">
        <v>347.59</v>
      </c>
      <c r="H147" s="1301">
        <v>352.8</v>
      </c>
      <c r="I147" s="1288">
        <v>358</v>
      </c>
      <c r="J147" s="1288">
        <v>363.21</v>
      </c>
      <c r="K147" s="1288">
        <v>368.41</v>
      </c>
      <c r="L147" s="1288">
        <v>373.62</v>
      </c>
      <c r="M147" s="1288">
        <v>378.82</v>
      </c>
      <c r="N147" s="1288">
        <v>384.03</v>
      </c>
      <c r="O147" s="1289">
        <v>389.23</v>
      </c>
      <c r="P147" s="1289">
        <v>394.44</v>
      </c>
      <c r="Q147" s="1289">
        <v>399.65</v>
      </c>
      <c r="R147" s="1289">
        <v>404.85</v>
      </c>
      <c r="S147" s="1289">
        <v>311.16000000000003</v>
      </c>
      <c r="T147" s="1289">
        <v>305.95</v>
      </c>
      <c r="U147" s="1289">
        <v>228.21</v>
      </c>
      <c r="V147" s="1289">
        <v>223</v>
      </c>
      <c r="W147" s="1289">
        <v>217.8</v>
      </c>
      <c r="X147" s="62">
        <v>143</v>
      </c>
      <c r="Y147" s="1296">
        <v>193.61</v>
      </c>
      <c r="Z147" s="1297">
        <v>197.28</v>
      </c>
      <c r="AA147" s="1298">
        <v>200.96</v>
      </c>
      <c r="AB147" s="1299">
        <v>204.64</v>
      </c>
      <c r="AC147" s="1300">
        <v>208.31</v>
      </c>
      <c r="AD147" s="1300">
        <v>211.99</v>
      </c>
      <c r="AE147" s="1285">
        <v>215.66</v>
      </c>
      <c r="AF147" s="1301">
        <v>219.34</v>
      </c>
      <c r="AG147" s="1288">
        <v>223.01</v>
      </c>
      <c r="AH147" s="1288">
        <v>226.69</v>
      </c>
      <c r="AI147" s="1288">
        <v>230.36</v>
      </c>
      <c r="AJ147" s="1288">
        <v>234.04</v>
      </c>
      <c r="AK147" s="1288">
        <v>237.71</v>
      </c>
      <c r="AL147" s="1288">
        <v>241.39</v>
      </c>
      <c r="AM147" s="1289">
        <v>245.06</v>
      </c>
      <c r="AN147" s="1289">
        <v>248.74</v>
      </c>
      <c r="AO147" s="1289">
        <v>252.41</v>
      </c>
      <c r="AP147" s="1289">
        <v>256.08999999999997</v>
      </c>
      <c r="AQ147" s="1289">
        <v>189.93</v>
      </c>
      <c r="AR147" s="1289">
        <v>186.26</v>
      </c>
      <c r="AS147" s="1289">
        <v>146.26</v>
      </c>
      <c r="AT147" s="1289">
        <v>142.58000000000001</v>
      </c>
      <c r="AU147" s="1289">
        <v>138.91</v>
      </c>
    </row>
    <row r="148" spans="1:47">
      <c r="A148" s="1296">
        <v>320.93</v>
      </c>
      <c r="B148" s="1297">
        <v>323.70999999999998</v>
      </c>
      <c r="C148" s="1298">
        <v>328.95</v>
      </c>
      <c r="D148" s="1299">
        <v>334.19</v>
      </c>
      <c r="E148" s="1300">
        <v>339.43</v>
      </c>
      <c r="F148" s="1300">
        <v>344.68</v>
      </c>
      <c r="G148" s="1300">
        <v>349.92</v>
      </c>
      <c r="H148" s="1301">
        <v>355.16</v>
      </c>
      <c r="I148" s="1288">
        <v>360.4</v>
      </c>
      <c r="J148" s="1288">
        <v>365.64</v>
      </c>
      <c r="K148" s="1288">
        <v>370.88</v>
      </c>
      <c r="L148" s="1288">
        <v>376.13</v>
      </c>
      <c r="M148" s="1288">
        <v>381.37</v>
      </c>
      <c r="N148" s="1288">
        <v>386.61</v>
      </c>
      <c r="O148" s="1289">
        <v>391.85</v>
      </c>
      <c r="P148" s="1289">
        <v>397.09</v>
      </c>
      <c r="Q148" s="1289">
        <v>402.33</v>
      </c>
      <c r="R148" s="1289">
        <v>407.58</v>
      </c>
      <c r="S148" s="1289">
        <v>313.23</v>
      </c>
      <c r="T148" s="1289">
        <v>307.99</v>
      </c>
      <c r="U148" s="1289">
        <v>229.74</v>
      </c>
      <c r="V148" s="1289">
        <v>224.5</v>
      </c>
      <c r="W148" s="1289">
        <v>219.26</v>
      </c>
      <c r="X148" s="62">
        <v>144</v>
      </c>
      <c r="Y148" s="1296">
        <v>195.03</v>
      </c>
      <c r="Z148" s="1297">
        <v>198.73</v>
      </c>
      <c r="AA148" s="1298">
        <v>202.43</v>
      </c>
      <c r="AB148" s="1299">
        <v>206.13</v>
      </c>
      <c r="AC148" s="1300">
        <v>209.83</v>
      </c>
      <c r="AD148" s="1300">
        <v>213.53</v>
      </c>
      <c r="AE148" s="1285">
        <v>217.23</v>
      </c>
      <c r="AF148" s="1301">
        <v>220.94</v>
      </c>
      <c r="AG148" s="1288">
        <v>224.64</v>
      </c>
      <c r="AH148" s="1288">
        <v>228.34</v>
      </c>
      <c r="AI148" s="1288">
        <v>232.04</v>
      </c>
      <c r="AJ148" s="1288">
        <v>235.74</v>
      </c>
      <c r="AK148" s="1288">
        <v>239.44</v>
      </c>
      <c r="AL148" s="1288">
        <v>243.14</v>
      </c>
      <c r="AM148" s="1289">
        <v>246.84</v>
      </c>
      <c r="AN148" s="1289">
        <v>250.54</v>
      </c>
      <c r="AO148" s="1289">
        <v>254.24</v>
      </c>
      <c r="AP148" s="1289">
        <v>257.94</v>
      </c>
      <c r="AQ148" s="1289">
        <v>191.33</v>
      </c>
      <c r="AR148" s="1289">
        <v>187.63</v>
      </c>
      <c r="AS148" s="1289">
        <v>147.32</v>
      </c>
      <c r="AT148" s="1289">
        <v>143.62</v>
      </c>
      <c r="AU148" s="1289">
        <v>139.91999999999999</v>
      </c>
    </row>
    <row r="149" spans="1:47">
      <c r="A149" s="1296">
        <v>323.05</v>
      </c>
      <c r="B149" s="1297">
        <v>326.20999999999998</v>
      </c>
      <c r="C149" s="1298">
        <v>331.49</v>
      </c>
      <c r="D149" s="1299">
        <v>336.76</v>
      </c>
      <c r="E149" s="1300">
        <v>342.04</v>
      </c>
      <c r="F149" s="1300">
        <v>347.32</v>
      </c>
      <c r="G149" s="1300">
        <v>352.6</v>
      </c>
      <c r="H149" s="1301">
        <v>357.88</v>
      </c>
      <c r="I149" s="1288">
        <v>363.15</v>
      </c>
      <c r="J149" s="1288">
        <v>368.43</v>
      </c>
      <c r="K149" s="1288">
        <v>373.71</v>
      </c>
      <c r="L149" s="1288">
        <v>378.99</v>
      </c>
      <c r="M149" s="1288">
        <v>384.27</v>
      </c>
      <c r="N149" s="1288">
        <v>389.54</v>
      </c>
      <c r="O149" s="1289">
        <v>394.82</v>
      </c>
      <c r="P149" s="1289">
        <v>400.1</v>
      </c>
      <c r="Q149" s="1289">
        <v>405.38</v>
      </c>
      <c r="R149" s="1289">
        <v>410.66</v>
      </c>
      <c r="S149" s="1289">
        <v>315.64999999999998</v>
      </c>
      <c r="T149" s="1289">
        <v>310.37</v>
      </c>
      <c r="U149" s="1289">
        <v>231.48</v>
      </c>
      <c r="V149" s="1289">
        <v>226.2</v>
      </c>
      <c r="W149" s="1289">
        <v>220.93</v>
      </c>
      <c r="X149" s="62">
        <v>145</v>
      </c>
      <c r="Y149" s="1296">
        <v>196.36</v>
      </c>
      <c r="Z149" s="1297">
        <v>200.09</v>
      </c>
      <c r="AA149" s="1298">
        <v>203.81</v>
      </c>
      <c r="AB149" s="1299">
        <v>207.54</v>
      </c>
      <c r="AC149" s="1300">
        <v>211.27</v>
      </c>
      <c r="AD149" s="1300">
        <v>214.99</v>
      </c>
      <c r="AE149" s="1285">
        <v>218.72</v>
      </c>
      <c r="AF149" s="1301">
        <v>222.45</v>
      </c>
      <c r="AG149" s="1288">
        <v>226.17</v>
      </c>
      <c r="AH149" s="1288">
        <v>229.9</v>
      </c>
      <c r="AI149" s="1288">
        <v>233.62</v>
      </c>
      <c r="AJ149" s="1288">
        <v>237.35</v>
      </c>
      <c r="AK149" s="1288">
        <v>241.08</v>
      </c>
      <c r="AL149" s="1288">
        <v>244.8</v>
      </c>
      <c r="AM149" s="1289">
        <v>248.53</v>
      </c>
      <c r="AN149" s="1289">
        <v>252.26</v>
      </c>
      <c r="AO149" s="1289">
        <v>255.98</v>
      </c>
      <c r="AP149" s="1289">
        <v>259.70999999999998</v>
      </c>
      <c r="AQ149" s="1289">
        <v>192.63</v>
      </c>
      <c r="AR149" s="1289">
        <v>188.91</v>
      </c>
      <c r="AS149" s="1289">
        <v>148.33000000000001</v>
      </c>
      <c r="AT149" s="1289">
        <v>144.6</v>
      </c>
      <c r="AU149" s="1289">
        <v>140.87</v>
      </c>
    </row>
    <row r="150" spans="1:47">
      <c r="A150" s="1296">
        <v>325.17</v>
      </c>
      <c r="B150" s="1297">
        <v>328.36</v>
      </c>
      <c r="C150" s="1298">
        <v>333.68</v>
      </c>
      <c r="D150" s="1299">
        <v>338.99</v>
      </c>
      <c r="E150" s="1300">
        <v>344.31</v>
      </c>
      <c r="F150" s="1300">
        <v>349.62</v>
      </c>
      <c r="G150" s="1300">
        <v>354.93</v>
      </c>
      <c r="H150" s="1301">
        <v>360.25</v>
      </c>
      <c r="I150" s="1288">
        <v>365.56</v>
      </c>
      <c r="J150" s="1288">
        <v>370.88</v>
      </c>
      <c r="K150" s="1288">
        <v>376.19</v>
      </c>
      <c r="L150" s="1288">
        <v>381.51</v>
      </c>
      <c r="M150" s="1288">
        <v>386.82</v>
      </c>
      <c r="N150" s="1288">
        <v>392.14</v>
      </c>
      <c r="O150" s="1289">
        <v>397.45</v>
      </c>
      <c r="P150" s="1289">
        <v>402.76</v>
      </c>
      <c r="Q150" s="1289">
        <v>408.08</v>
      </c>
      <c r="R150" s="1289">
        <v>413.39</v>
      </c>
      <c r="S150" s="1289">
        <v>317.73</v>
      </c>
      <c r="T150" s="1289">
        <v>312.42</v>
      </c>
      <c r="U150" s="1289">
        <v>233.02</v>
      </c>
      <c r="V150" s="1289">
        <v>227.71</v>
      </c>
      <c r="W150" s="1289">
        <v>222.39</v>
      </c>
      <c r="X150" s="62">
        <v>146</v>
      </c>
      <c r="Y150" s="1296">
        <v>197.69</v>
      </c>
      <c r="Z150" s="1297">
        <v>201.44</v>
      </c>
      <c r="AA150" s="1298">
        <v>205.19</v>
      </c>
      <c r="AB150" s="1299">
        <v>208.95</v>
      </c>
      <c r="AC150" s="1300">
        <v>212.7</v>
      </c>
      <c r="AD150" s="1300">
        <v>216.45</v>
      </c>
      <c r="AE150" s="1285">
        <v>220.2</v>
      </c>
      <c r="AF150" s="1301">
        <v>223.96</v>
      </c>
      <c r="AG150" s="1288">
        <v>227.71</v>
      </c>
      <c r="AH150" s="1288">
        <v>231.46</v>
      </c>
      <c r="AI150" s="1288">
        <v>235.21</v>
      </c>
      <c r="AJ150" s="1288">
        <v>238.96</v>
      </c>
      <c r="AK150" s="1288">
        <v>242.72</v>
      </c>
      <c r="AL150" s="1288">
        <v>246.47</v>
      </c>
      <c r="AM150" s="1289">
        <v>250.22</v>
      </c>
      <c r="AN150" s="1289">
        <v>253.97</v>
      </c>
      <c r="AO150" s="1289">
        <v>257.73</v>
      </c>
      <c r="AP150" s="1289">
        <v>261.48</v>
      </c>
      <c r="AQ150" s="1289">
        <v>193.94</v>
      </c>
      <c r="AR150" s="1289">
        <v>190.19</v>
      </c>
      <c r="AS150" s="1289">
        <v>149.34</v>
      </c>
      <c r="AT150" s="1289">
        <v>145.58000000000001</v>
      </c>
      <c r="AU150" s="1289">
        <v>141.83000000000001</v>
      </c>
    </row>
    <row r="151" spans="1:47">
      <c r="A151" s="1296">
        <v>273.20999999999998</v>
      </c>
      <c r="B151" s="1297">
        <v>330.52</v>
      </c>
      <c r="C151" s="1298">
        <v>335.87</v>
      </c>
      <c r="D151" s="1299">
        <v>341.22</v>
      </c>
      <c r="E151" s="1300">
        <v>346.57</v>
      </c>
      <c r="F151" s="1300">
        <v>351.92</v>
      </c>
      <c r="G151" s="1300">
        <v>357.27</v>
      </c>
      <c r="H151" s="1301">
        <v>362.63</v>
      </c>
      <c r="I151" s="1288">
        <v>367.98</v>
      </c>
      <c r="J151" s="1288">
        <v>373.33</v>
      </c>
      <c r="K151" s="1288">
        <v>378.68</v>
      </c>
      <c r="L151" s="1288">
        <v>384.03</v>
      </c>
      <c r="M151" s="1288">
        <v>389.38</v>
      </c>
      <c r="N151" s="1288">
        <v>394.73</v>
      </c>
      <c r="O151" s="1289">
        <v>400.08</v>
      </c>
      <c r="P151" s="1289">
        <v>405.43</v>
      </c>
      <c r="Q151" s="1289">
        <v>410.78</v>
      </c>
      <c r="R151" s="1289">
        <v>416.13</v>
      </c>
      <c r="S151" s="1289">
        <v>319.82</v>
      </c>
      <c r="T151" s="1289">
        <v>314.47000000000003</v>
      </c>
      <c r="U151" s="1289">
        <v>234.57</v>
      </c>
      <c r="V151" s="1289">
        <v>229.21</v>
      </c>
      <c r="W151" s="1289">
        <v>223.86</v>
      </c>
      <c r="X151" s="62">
        <v>147</v>
      </c>
      <c r="Y151" s="1296">
        <v>199.02</v>
      </c>
      <c r="Z151" s="1297">
        <v>202.8</v>
      </c>
      <c r="AA151" s="1298">
        <v>206.58</v>
      </c>
      <c r="AB151" s="1299">
        <v>210.36</v>
      </c>
      <c r="AC151" s="1300">
        <v>214.13</v>
      </c>
      <c r="AD151" s="1300">
        <v>214.97</v>
      </c>
      <c r="AE151" s="1285">
        <v>221.69</v>
      </c>
      <c r="AF151" s="1301">
        <v>225.47</v>
      </c>
      <c r="AG151" s="1288">
        <v>229.25</v>
      </c>
      <c r="AH151" s="1288">
        <v>233.02</v>
      </c>
      <c r="AI151" s="1288">
        <v>236.8</v>
      </c>
      <c r="AJ151" s="1288">
        <v>240.58</v>
      </c>
      <c r="AK151" s="1288">
        <v>244.36</v>
      </c>
      <c r="AL151" s="1288">
        <v>248.13</v>
      </c>
      <c r="AM151" s="1289">
        <v>251.91</v>
      </c>
      <c r="AN151" s="1289">
        <v>255.69</v>
      </c>
      <c r="AO151" s="1289">
        <v>259.47000000000003</v>
      </c>
      <c r="AP151" s="1289">
        <v>263.25</v>
      </c>
      <c r="AQ151" s="1289">
        <v>195.24</v>
      </c>
      <c r="AR151" s="1289">
        <v>191.47</v>
      </c>
      <c r="AS151" s="1289">
        <v>150.34</v>
      </c>
      <c r="AT151" s="1289">
        <v>146.57</v>
      </c>
      <c r="AU151" s="1289">
        <v>142.79</v>
      </c>
    </row>
    <row r="152" spans="1:47">
      <c r="A152" s="1296">
        <v>327.29000000000002</v>
      </c>
      <c r="B152" s="1297">
        <v>332.68</v>
      </c>
      <c r="C152" s="1298">
        <v>338.07</v>
      </c>
      <c r="D152" s="1299">
        <v>343.46</v>
      </c>
      <c r="E152" s="1300">
        <v>348.84</v>
      </c>
      <c r="F152" s="1300">
        <v>354.23</v>
      </c>
      <c r="G152" s="1300">
        <v>359.62</v>
      </c>
      <c r="H152" s="1301">
        <v>365.01</v>
      </c>
      <c r="I152" s="1288">
        <v>370.39</v>
      </c>
      <c r="J152" s="1288">
        <v>375.78</v>
      </c>
      <c r="K152" s="1288">
        <v>381.17</v>
      </c>
      <c r="L152" s="1288">
        <v>386.55</v>
      </c>
      <c r="M152" s="1288">
        <v>391.94</v>
      </c>
      <c r="N152" s="1288">
        <v>397.33</v>
      </c>
      <c r="O152" s="1289">
        <v>402.72</v>
      </c>
      <c r="P152" s="1289">
        <v>408.1</v>
      </c>
      <c r="Q152" s="1289">
        <v>413.49</v>
      </c>
      <c r="R152" s="1289">
        <v>418.88</v>
      </c>
      <c r="S152" s="1289">
        <v>321.91000000000003</v>
      </c>
      <c r="T152" s="1289">
        <v>316.52</v>
      </c>
      <c r="U152" s="1289">
        <v>236.11</v>
      </c>
      <c r="V152" s="1289">
        <v>230.72</v>
      </c>
      <c r="W152" s="1289">
        <v>225.34</v>
      </c>
      <c r="X152" s="62">
        <v>148</v>
      </c>
      <c r="Y152" s="1296">
        <v>200.36</v>
      </c>
      <c r="Z152" s="1297">
        <v>204.16</v>
      </c>
      <c r="AA152" s="1298">
        <v>207.96</v>
      </c>
      <c r="AB152" s="1299">
        <v>211.77</v>
      </c>
      <c r="AC152" s="1300">
        <v>215.57</v>
      </c>
      <c r="AD152" s="1300">
        <v>219.37</v>
      </c>
      <c r="AE152" s="1285">
        <v>223.18</v>
      </c>
      <c r="AF152" s="1301">
        <v>226.98</v>
      </c>
      <c r="AG152" s="1288">
        <v>230.78</v>
      </c>
      <c r="AH152" s="1288">
        <v>234.59</v>
      </c>
      <c r="AI152" s="1288">
        <v>238.39</v>
      </c>
      <c r="AJ152" s="1288">
        <v>242.19</v>
      </c>
      <c r="AK152" s="1288">
        <v>246</v>
      </c>
      <c r="AL152" s="1288">
        <v>249.8</v>
      </c>
      <c r="AM152" s="1289">
        <v>253.61</v>
      </c>
      <c r="AN152" s="1289">
        <v>257.41000000000003</v>
      </c>
      <c r="AO152" s="1289">
        <v>261.20999999999998</v>
      </c>
      <c r="AP152" s="1289">
        <v>265.02</v>
      </c>
      <c r="AQ152" s="1289">
        <v>196.55</v>
      </c>
      <c r="AR152" s="1289">
        <v>192.75</v>
      </c>
      <c r="AS152" s="1289">
        <v>151.35</v>
      </c>
      <c r="AT152" s="1289">
        <v>147.55000000000001</v>
      </c>
      <c r="AU152" s="1289">
        <v>143.75</v>
      </c>
    </row>
    <row r="153" spans="1:47">
      <c r="A153" s="1296">
        <v>329.42</v>
      </c>
      <c r="B153" s="1297">
        <v>334.85</v>
      </c>
      <c r="C153" s="1298">
        <v>340.27</v>
      </c>
      <c r="D153" s="1299">
        <v>345.7</v>
      </c>
      <c r="E153" s="1300">
        <v>351.12</v>
      </c>
      <c r="F153" s="1300">
        <v>356.54</v>
      </c>
      <c r="G153" s="1300">
        <v>361.97</v>
      </c>
      <c r="H153" s="1301">
        <v>367.39</v>
      </c>
      <c r="I153" s="1288">
        <v>372.81</v>
      </c>
      <c r="J153" s="1288">
        <v>378.24</v>
      </c>
      <c r="K153" s="1288">
        <v>383.66</v>
      </c>
      <c r="L153" s="1288">
        <v>389.08</v>
      </c>
      <c r="M153" s="1288">
        <v>394.51</v>
      </c>
      <c r="N153" s="1288">
        <v>399.93</v>
      </c>
      <c r="O153" s="1289">
        <v>405.35</v>
      </c>
      <c r="P153" s="1289">
        <v>410.78</v>
      </c>
      <c r="Q153" s="1289">
        <v>416.2</v>
      </c>
      <c r="R153" s="1289">
        <v>41.63</v>
      </c>
      <c r="S153" s="1289">
        <v>324</v>
      </c>
      <c r="T153" s="1289">
        <v>318.58</v>
      </c>
      <c r="U153" s="1289">
        <v>237.66</v>
      </c>
      <c r="V153" s="1289">
        <v>232.23</v>
      </c>
      <c r="W153" s="1289">
        <v>226.81</v>
      </c>
      <c r="X153" s="62">
        <v>149</v>
      </c>
      <c r="Y153" s="1296">
        <v>201.79</v>
      </c>
      <c r="Z153" s="1297">
        <v>205.62</v>
      </c>
      <c r="AA153" s="1298">
        <v>209.4</v>
      </c>
      <c r="AB153" s="1299">
        <v>213.28</v>
      </c>
      <c r="AC153" s="1300">
        <v>217.11</v>
      </c>
      <c r="AD153" s="1300">
        <v>220.93</v>
      </c>
      <c r="AE153" s="1285">
        <v>224.76</v>
      </c>
      <c r="AF153" s="1301">
        <v>228.59</v>
      </c>
      <c r="AG153" s="1288">
        <v>232.42</v>
      </c>
      <c r="AH153" s="1288">
        <v>236.25</v>
      </c>
      <c r="AI153" s="1288">
        <v>240.08</v>
      </c>
      <c r="AJ153" s="1288">
        <v>243.91</v>
      </c>
      <c r="AK153" s="1288">
        <v>247.74</v>
      </c>
      <c r="AL153" s="1288">
        <v>251.57</v>
      </c>
      <c r="AM153" s="1289">
        <v>255.4</v>
      </c>
      <c r="AN153" s="1289">
        <v>259.23</v>
      </c>
      <c r="AO153" s="1289">
        <v>263.06</v>
      </c>
      <c r="AP153" s="1289">
        <v>266.89</v>
      </c>
      <c r="AQ153" s="1289">
        <v>197.96</v>
      </c>
      <c r="AR153" s="1289">
        <v>194.13</v>
      </c>
      <c r="AS153" s="1289">
        <v>152.43</v>
      </c>
      <c r="AT153" s="1289">
        <v>148.6</v>
      </c>
      <c r="AU153" s="1289">
        <v>144.77000000000001</v>
      </c>
    </row>
    <row r="154" spans="1:47">
      <c r="A154" s="1296">
        <v>331.93</v>
      </c>
      <c r="B154" s="1297">
        <v>337.39</v>
      </c>
      <c r="C154" s="1298">
        <v>342.85</v>
      </c>
      <c r="D154" s="1299">
        <v>348.31</v>
      </c>
      <c r="E154" s="1300">
        <v>353.77</v>
      </c>
      <c r="F154" s="1300">
        <v>359.23</v>
      </c>
      <c r="G154" s="1300">
        <v>364.69</v>
      </c>
      <c r="H154" s="1301">
        <v>370.15</v>
      </c>
      <c r="I154" s="1288">
        <v>375.61</v>
      </c>
      <c r="J154" s="1288">
        <v>381.07</v>
      </c>
      <c r="K154" s="1288">
        <v>386.53</v>
      </c>
      <c r="L154" s="1288">
        <v>391.99</v>
      </c>
      <c r="M154" s="1288">
        <v>397.45</v>
      </c>
      <c r="N154" s="1288">
        <v>402.91</v>
      </c>
      <c r="O154" s="1289">
        <v>408.37</v>
      </c>
      <c r="P154" s="1289">
        <v>413.83</v>
      </c>
      <c r="Q154" s="1289">
        <v>419.29</v>
      </c>
      <c r="R154" s="1289">
        <v>424.75</v>
      </c>
      <c r="S154" s="1289">
        <v>326.47000000000003</v>
      </c>
      <c r="T154" s="1289">
        <v>321.01</v>
      </c>
      <c r="U154" s="1289">
        <v>239.43</v>
      </c>
      <c r="V154" s="1289">
        <v>233.97</v>
      </c>
      <c r="W154" s="1289">
        <v>228.51</v>
      </c>
      <c r="X154" s="62">
        <v>150</v>
      </c>
      <c r="Y154" s="1296">
        <v>203.12</v>
      </c>
      <c r="Z154" s="1297">
        <v>206.98</v>
      </c>
      <c r="AA154" s="1298">
        <v>210.83</v>
      </c>
      <c r="AB154" s="1299">
        <v>214.69</v>
      </c>
      <c r="AC154" s="1300">
        <v>218.54</v>
      </c>
      <c r="AD154" s="1300">
        <v>222.4</v>
      </c>
      <c r="AE154" s="1285">
        <v>226.25</v>
      </c>
      <c r="AF154" s="1301">
        <v>230.11</v>
      </c>
      <c r="AG154" s="1288">
        <v>233.96</v>
      </c>
      <c r="AH154" s="1288">
        <v>237.82</v>
      </c>
      <c r="AI154" s="1288">
        <v>241.67</v>
      </c>
      <c r="AJ154" s="1288">
        <v>245.53</v>
      </c>
      <c r="AK154" s="1288">
        <v>249.38</v>
      </c>
      <c r="AL154" s="1288">
        <v>253.24</v>
      </c>
      <c r="AM154" s="1289">
        <v>257.08999999999997</v>
      </c>
      <c r="AN154" s="1289">
        <v>260.95</v>
      </c>
      <c r="AO154" s="1289">
        <v>264.8</v>
      </c>
      <c r="AP154" s="1289">
        <v>268.66000000000003</v>
      </c>
      <c r="AQ154" s="1289">
        <v>199.27</v>
      </c>
      <c r="AR154" s="1289">
        <v>195.41</v>
      </c>
      <c r="AS154" s="1289">
        <v>153.44</v>
      </c>
      <c r="AT154" s="1289">
        <v>149.58000000000001</v>
      </c>
      <c r="AU154" s="1289">
        <v>145.72999999999999</v>
      </c>
    </row>
    <row r="155" spans="1:47">
      <c r="A155" s="1296">
        <v>334.08</v>
      </c>
      <c r="B155" s="1297">
        <v>339.57</v>
      </c>
      <c r="C155" s="1298">
        <v>345.07</v>
      </c>
      <c r="D155" s="1299">
        <v>350.56</v>
      </c>
      <c r="E155" s="1300">
        <v>356.06</v>
      </c>
      <c r="F155" s="1300">
        <v>361.56</v>
      </c>
      <c r="G155" s="1300">
        <v>367.05</v>
      </c>
      <c r="H155" s="1301">
        <v>372.55</v>
      </c>
      <c r="I155" s="1288">
        <v>378.05</v>
      </c>
      <c r="J155" s="1288">
        <v>383.54</v>
      </c>
      <c r="K155" s="1288">
        <v>389.04</v>
      </c>
      <c r="L155" s="1288">
        <v>394.54</v>
      </c>
      <c r="M155" s="1288">
        <v>400.03</v>
      </c>
      <c r="N155" s="1288">
        <v>405.53</v>
      </c>
      <c r="O155" s="1289">
        <v>411.03</v>
      </c>
      <c r="P155" s="1289">
        <v>416.52</v>
      </c>
      <c r="Q155" s="1289">
        <v>422.02</v>
      </c>
      <c r="R155" s="1289">
        <v>427.51</v>
      </c>
      <c r="S155" s="1289">
        <v>328.58</v>
      </c>
      <c r="T155" s="1289">
        <v>323.08</v>
      </c>
      <c r="U155" s="1289">
        <v>240.98</v>
      </c>
      <c r="V155" s="1289">
        <v>235.49</v>
      </c>
      <c r="W155" s="1289">
        <v>229.99</v>
      </c>
      <c r="X155" s="62">
        <v>151</v>
      </c>
      <c r="Y155" s="1296">
        <v>204.46</v>
      </c>
      <c r="Z155" s="1297">
        <v>208.34</v>
      </c>
      <c r="AA155" s="1298">
        <v>212.22</v>
      </c>
      <c r="AB155" s="1299">
        <v>26.1</v>
      </c>
      <c r="AC155" s="1300">
        <v>219.98</v>
      </c>
      <c r="AD155" s="1300">
        <v>223.86</v>
      </c>
      <c r="AE155" s="1285">
        <v>227.75</v>
      </c>
      <c r="AF155" s="1301">
        <v>231.63</v>
      </c>
      <c r="AG155" s="1288">
        <v>235.51</v>
      </c>
      <c r="AH155" s="1288">
        <v>239.39</v>
      </c>
      <c r="AI155" s="1288">
        <v>243.27</v>
      </c>
      <c r="AJ155" s="1288">
        <v>247.15</v>
      </c>
      <c r="AK155" s="1288">
        <v>251.03</v>
      </c>
      <c r="AL155" s="1288">
        <v>254.91</v>
      </c>
      <c r="AM155" s="1289">
        <v>258.79000000000002</v>
      </c>
      <c r="AN155" s="1289">
        <v>262.67</v>
      </c>
      <c r="AO155" s="1289">
        <v>266.55</v>
      </c>
      <c r="AP155" s="1289">
        <v>270.43</v>
      </c>
      <c r="AQ155" s="1289">
        <v>200.58</v>
      </c>
      <c r="AR155" s="1289">
        <v>196.7</v>
      </c>
      <c r="AS155" s="1289">
        <v>154.44999999999999</v>
      </c>
      <c r="AT155" s="1289">
        <v>150.57</v>
      </c>
      <c r="AU155" s="1289">
        <v>146.69</v>
      </c>
    </row>
    <row r="156" spans="1:47">
      <c r="A156" s="1296">
        <v>336.22</v>
      </c>
      <c r="B156" s="1297">
        <v>341.75</v>
      </c>
      <c r="C156" s="1298">
        <v>347.29</v>
      </c>
      <c r="D156" s="1299">
        <v>352.82</v>
      </c>
      <c r="E156" s="1300">
        <v>358.35</v>
      </c>
      <c r="F156" s="1300">
        <v>363.89</v>
      </c>
      <c r="G156" s="1300">
        <v>369.42</v>
      </c>
      <c r="H156" s="1301">
        <v>374.95</v>
      </c>
      <c r="I156" s="1288">
        <v>380.48</v>
      </c>
      <c r="J156" s="1288">
        <v>386.02</v>
      </c>
      <c r="K156" s="1288">
        <v>391.55</v>
      </c>
      <c r="L156" s="1288">
        <v>397.08</v>
      </c>
      <c r="M156" s="1288">
        <v>402.62</v>
      </c>
      <c r="N156" s="1288">
        <v>408.15</v>
      </c>
      <c r="O156" s="1289">
        <v>413.68</v>
      </c>
      <c r="P156" s="1289">
        <v>419.21</v>
      </c>
      <c r="Q156" s="1289">
        <v>424.75</v>
      </c>
      <c r="R156" s="1289">
        <v>430.28</v>
      </c>
      <c r="S156" s="1289">
        <v>330.69</v>
      </c>
      <c r="T156" s="1289">
        <v>325.16000000000003</v>
      </c>
      <c r="U156" s="1289">
        <v>242.54</v>
      </c>
      <c r="V156" s="1289">
        <v>237.01</v>
      </c>
      <c r="W156" s="1289">
        <v>231.47</v>
      </c>
      <c r="X156" s="62">
        <v>152</v>
      </c>
      <c r="Y156" s="1296">
        <v>205.8</v>
      </c>
      <c r="Z156" s="1297">
        <v>209.71</v>
      </c>
      <c r="AA156" s="1298">
        <v>213.61</v>
      </c>
      <c r="AB156" s="1299">
        <v>217.52</v>
      </c>
      <c r="AC156" s="1300">
        <v>221.43</v>
      </c>
      <c r="AD156" s="1300">
        <v>225.33</v>
      </c>
      <c r="AE156" s="1285">
        <v>229.24</v>
      </c>
      <c r="AF156" s="1301">
        <v>233.14</v>
      </c>
      <c r="AG156" s="1288">
        <v>237.05</v>
      </c>
      <c r="AH156" s="1288">
        <v>240.96</v>
      </c>
      <c r="AI156" s="1288">
        <v>244.86</v>
      </c>
      <c r="AJ156" s="1288">
        <v>248.77</v>
      </c>
      <c r="AK156" s="1288">
        <v>252.68</v>
      </c>
      <c r="AL156" s="1288">
        <v>256.58</v>
      </c>
      <c r="AM156" s="1289">
        <v>260.49</v>
      </c>
      <c r="AN156" s="1289">
        <v>264.39999999999998</v>
      </c>
      <c r="AO156" s="1289">
        <v>268.3</v>
      </c>
      <c r="AP156" s="1289">
        <v>272.20999999999998</v>
      </c>
      <c r="AQ156" s="1289">
        <v>201.89</v>
      </c>
      <c r="AR156" s="1289">
        <v>197.99</v>
      </c>
      <c r="AS156" s="1289">
        <v>155.46</v>
      </c>
      <c r="AT156" s="1289">
        <v>151.56</v>
      </c>
      <c r="AU156" s="1289">
        <v>147.65</v>
      </c>
    </row>
    <row r="157" spans="1:47">
      <c r="A157" s="1296">
        <v>338.37</v>
      </c>
      <c r="B157" s="1297">
        <v>343.94</v>
      </c>
      <c r="C157" s="1298">
        <v>349.51</v>
      </c>
      <c r="D157" s="1299">
        <v>355.08</v>
      </c>
      <c r="E157" s="1300">
        <v>360.65</v>
      </c>
      <c r="F157" s="1300">
        <v>366.22</v>
      </c>
      <c r="G157" s="1300">
        <v>371.54</v>
      </c>
      <c r="H157" s="1301">
        <v>377.36</v>
      </c>
      <c r="I157" s="1288">
        <v>382.93</v>
      </c>
      <c r="J157" s="1288">
        <v>388.5</v>
      </c>
      <c r="K157" s="1288">
        <v>394.06</v>
      </c>
      <c r="L157" s="1288">
        <v>399.63</v>
      </c>
      <c r="M157" s="1288">
        <v>405.2</v>
      </c>
      <c r="N157" s="1288">
        <v>410.77</v>
      </c>
      <c r="O157" s="1289">
        <v>416.34</v>
      </c>
      <c r="P157" s="1289">
        <v>421.91</v>
      </c>
      <c r="Q157" s="1289">
        <v>427.48</v>
      </c>
      <c r="R157" s="1289">
        <v>433.05</v>
      </c>
      <c r="S157" s="1289">
        <v>332.8</v>
      </c>
      <c r="T157" s="1289">
        <v>327.23</v>
      </c>
      <c r="U157" s="1289">
        <v>244.1</v>
      </c>
      <c r="V157" s="1289">
        <v>238.53</v>
      </c>
      <c r="W157" s="1289">
        <v>232.96</v>
      </c>
      <c r="X157" s="62">
        <v>153</v>
      </c>
      <c r="Y157" s="1296">
        <v>207.14</v>
      </c>
      <c r="Z157" s="1297">
        <v>211.07</v>
      </c>
      <c r="AA157" s="1298">
        <v>215</v>
      </c>
      <c r="AB157" s="1299">
        <v>218.94</v>
      </c>
      <c r="AC157" s="1300">
        <v>222.87</v>
      </c>
      <c r="AD157" s="1300">
        <v>226.8</v>
      </c>
      <c r="AE157" s="1285">
        <v>230.73</v>
      </c>
      <c r="AF157" s="1301">
        <v>234.66</v>
      </c>
      <c r="AG157" s="1288">
        <v>238.6</v>
      </c>
      <c r="AH157" s="1288">
        <v>242.53</v>
      </c>
      <c r="AI157" s="1288">
        <v>246.46</v>
      </c>
      <c r="AJ157" s="1288">
        <v>250.39</v>
      </c>
      <c r="AK157" s="1288">
        <v>254.32</v>
      </c>
      <c r="AL157" s="1288">
        <v>258.26</v>
      </c>
      <c r="AM157" s="1289">
        <v>262.19</v>
      </c>
      <c r="AN157" s="1289">
        <v>266.12</v>
      </c>
      <c r="AO157" s="1289">
        <v>270.05</v>
      </c>
      <c r="AP157" s="1289">
        <v>273.99</v>
      </c>
      <c r="AQ157" s="1289">
        <v>203.21</v>
      </c>
      <c r="AR157" s="1289">
        <v>199.28</v>
      </c>
      <c r="AS157" s="1289">
        <v>156.47999999999999</v>
      </c>
      <c r="AT157" s="1289">
        <v>152.55000000000001</v>
      </c>
      <c r="AU157" s="1289">
        <v>148.61000000000001</v>
      </c>
    </row>
    <row r="158" spans="1:47">
      <c r="A158" s="1296">
        <v>340.53</v>
      </c>
      <c r="B158" s="1297">
        <v>346.13</v>
      </c>
      <c r="C158" s="1298">
        <v>351.74</v>
      </c>
      <c r="D158" s="1299">
        <v>357.34</v>
      </c>
      <c r="E158" s="1300">
        <v>362.95</v>
      </c>
      <c r="F158" s="1300">
        <v>368.56</v>
      </c>
      <c r="G158" s="1300">
        <v>374.16</v>
      </c>
      <c r="H158" s="1301">
        <v>379.77</v>
      </c>
      <c r="I158" s="1288">
        <v>385.37</v>
      </c>
      <c r="J158" s="1288">
        <v>390.98</v>
      </c>
      <c r="K158" s="1288">
        <v>396.58</v>
      </c>
      <c r="L158" s="1288">
        <v>402.19</v>
      </c>
      <c r="M158" s="1288">
        <v>407.79</v>
      </c>
      <c r="N158" s="1288">
        <v>413.4</v>
      </c>
      <c r="O158" s="1289">
        <v>419.01</v>
      </c>
      <c r="P158" s="1289">
        <v>424.61</v>
      </c>
      <c r="Q158" s="1289">
        <v>430.22</v>
      </c>
      <c r="R158" s="1289">
        <v>435.82</v>
      </c>
      <c r="S158" s="1289">
        <v>334.92</v>
      </c>
      <c r="T158" s="1289">
        <v>329.32</v>
      </c>
      <c r="U158" s="1289">
        <v>245.66</v>
      </c>
      <c r="V158" s="1289">
        <v>240.06</v>
      </c>
      <c r="W158" s="1289">
        <v>234.45</v>
      </c>
      <c r="X158" s="62">
        <v>154</v>
      </c>
      <c r="Y158" s="1296">
        <v>208.48</v>
      </c>
      <c r="Z158" s="1297">
        <v>212.44</v>
      </c>
      <c r="AA158" s="1298">
        <v>216.4</v>
      </c>
      <c r="AB158" s="1299">
        <v>220.35</v>
      </c>
      <c r="AC158" s="1300">
        <v>224.31</v>
      </c>
      <c r="AD158" s="1300">
        <v>228.27</v>
      </c>
      <c r="AE158" s="1285">
        <v>232.23</v>
      </c>
      <c r="AF158" s="1301">
        <v>236.18</v>
      </c>
      <c r="AG158" s="1288">
        <v>240.14</v>
      </c>
      <c r="AH158" s="1288">
        <v>244.1</v>
      </c>
      <c r="AI158" s="1288">
        <v>248.06</v>
      </c>
      <c r="AJ158" s="1288">
        <v>252.02</v>
      </c>
      <c r="AK158" s="1288">
        <v>255.97</v>
      </c>
      <c r="AL158" s="1288">
        <v>259.93</v>
      </c>
      <c r="AM158" s="1289">
        <v>263.89</v>
      </c>
      <c r="AN158" s="1289">
        <v>267.85000000000002</v>
      </c>
      <c r="AO158" s="1289">
        <v>271.81</v>
      </c>
      <c r="AP158" s="1289">
        <v>275.76</v>
      </c>
      <c r="AQ158" s="1289">
        <v>204.52</v>
      </c>
      <c r="AR158" s="1289">
        <v>200.56</v>
      </c>
      <c r="AS158" s="1289">
        <v>157.49</v>
      </c>
      <c r="AT158" s="1289">
        <v>153.53</v>
      </c>
      <c r="AU158" s="1289">
        <v>149.58000000000001</v>
      </c>
    </row>
    <row r="159" spans="1:47">
      <c r="A159" s="1296">
        <v>342.69</v>
      </c>
      <c r="B159" s="1297">
        <v>348.33</v>
      </c>
      <c r="C159" s="1298">
        <v>353.97</v>
      </c>
      <c r="D159" s="1299">
        <v>359.61</v>
      </c>
      <c r="E159" s="1300">
        <v>365.26</v>
      </c>
      <c r="F159" s="1300">
        <v>370.9</v>
      </c>
      <c r="G159" s="1300">
        <v>376.54</v>
      </c>
      <c r="H159" s="1301">
        <v>382.18</v>
      </c>
      <c r="I159" s="1288">
        <v>387.82</v>
      </c>
      <c r="J159" s="1288">
        <v>393.47</v>
      </c>
      <c r="K159" s="1288">
        <v>399.11</v>
      </c>
      <c r="L159" s="1288">
        <v>404.75</v>
      </c>
      <c r="M159" s="1288">
        <v>410.39</v>
      </c>
      <c r="N159" s="1288">
        <v>416.03</v>
      </c>
      <c r="O159" s="1289">
        <v>421.68</v>
      </c>
      <c r="P159" s="1289">
        <v>427.32</v>
      </c>
      <c r="Q159" s="1289">
        <v>432.96</v>
      </c>
      <c r="R159" s="1289">
        <v>438.6</v>
      </c>
      <c r="S159" s="1289">
        <v>337.05</v>
      </c>
      <c r="T159" s="1289">
        <v>331.4</v>
      </c>
      <c r="U159" s="1289">
        <v>247.23</v>
      </c>
      <c r="V159" s="1289">
        <v>241.58</v>
      </c>
      <c r="W159" s="1289">
        <v>235.94</v>
      </c>
      <c r="X159" s="62">
        <v>155</v>
      </c>
      <c r="Y159" s="1296">
        <v>209.82</v>
      </c>
      <c r="Z159" s="1297">
        <v>213.81</v>
      </c>
      <c r="AA159" s="1298">
        <v>217.79</v>
      </c>
      <c r="AB159" s="1299">
        <v>221.77</v>
      </c>
      <c r="AC159" s="1300">
        <v>225.76</v>
      </c>
      <c r="AD159" s="1300">
        <v>229.74</v>
      </c>
      <c r="AE159" s="1285">
        <v>233.72</v>
      </c>
      <c r="AF159" s="1301">
        <v>237.71</v>
      </c>
      <c r="AG159" s="1288">
        <v>241.69</v>
      </c>
      <c r="AH159" s="1288">
        <v>245.67</v>
      </c>
      <c r="AI159" s="1288">
        <v>249.66</v>
      </c>
      <c r="AJ159" s="1288">
        <v>253.64</v>
      </c>
      <c r="AK159" s="1288">
        <v>257.62</v>
      </c>
      <c r="AL159" s="1288">
        <v>261.61</v>
      </c>
      <c r="AM159" s="1289">
        <v>265.58999999999997</v>
      </c>
      <c r="AN159" s="1289">
        <v>269.57</v>
      </c>
      <c r="AO159" s="1289">
        <v>273.56</v>
      </c>
      <c r="AP159" s="1289">
        <v>277.54000000000002</v>
      </c>
      <c r="AQ159" s="1289">
        <v>205.84</v>
      </c>
      <c r="AR159" s="1289">
        <v>201.86</v>
      </c>
      <c r="AS159" s="1289">
        <v>158.51</v>
      </c>
      <c r="AT159" s="1289">
        <v>154.52000000000001</v>
      </c>
      <c r="AU159" s="1289">
        <v>150.54</v>
      </c>
    </row>
    <row r="160" spans="1:47">
      <c r="A160" s="1296">
        <v>344.85</v>
      </c>
      <c r="B160" s="1297">
        <v>350.53</v>
      </c>
      <c r="C160" s="1298">
        <v>356.21</v>
      </c>
      <c r="D160" s="1299">
        <v>361.89</v>
      </c>
      <c r="E160" s="1300">
        <v>367.57</v>
      </c>
      <c r="F160" s="1300">
        <v>373.24</v>
      </c>
      <c r="G160" s="1300">
        <v>378.92</v>
      </c>
      <c r="H160" s="1301">
        <v>384.6</v>
      </c>
      <c r="I160" s="1288">
        <v>390.28</v>
      </c>
      <c r="J160" s="1288">
        <v>396.96</v>
      </c>
      <c r="K160" s="1288">
        <v>401.64</v>
      </c>
      <c r="L160" s="1288">
        <v>407.31</v>
      </c>
      <c r="M160" s="1288">
        <v>412.99</v>
      </c>
      <c r="N160" s="1288">
        <v>418.67</v>
      </c>
      <c r="O160" s="1289">
        <v>424.35</v>
      </c>
      <c r="P160" s="1289">
        <v>430.03</v>
      </c>
      <c r="Q160" s="1289">
        <v>435.71</v>
      </c>
      <c r="R160" s="1289">
        <v>441.38</v>
      </c>
      <c r="S160" s="1289">
        <v>339.17</v>
      </c>
      <c r="T160" s="1289">
        <v>333.49</v>
      </c>
      <c r="U160" s="1289">
        <v>248.79</v>
      </c>
      <c r="V160" s="1289">
        <v>243.12</v>
      </c>
      <c r="W160" s="1289">
        <v>237.44</v>
      </c>
      <c r="X160" s="62">
        <v>156</v>
      </c>
      <c r="Y160" s="1296">
        <v>211.17</v>
      </c>
      <c r="Z160" s="1297">
        <v>215.17</v>
      </c>
      <c r="AA160" s="1298">
        <v>219.18</v>
      </c>
      <c r="AB160" s="1299">
        <v>223.19</v>
      </c>
      <c r="AC160" s="1300">
        <v>227.2</v>
      </c>
      <c r="AD160" s="1300">
        <v>231.21</v>
      </c>
      <c r="AE160" s="1285">
        <v>235.22</v>
      </c>
      <c r="AF160" s="1301">
        <v>239.23</v>
      </c>
      <c r="AG160" s="1288">
        <v>243.24</v>
      </c>
      <c r="AH160" s="1288">
        <v>247.25</v>
      </c>
      <c r="AI160" s="1288">
        <v>251.26</v>
      </c>
      <c r="AJ160" s="1288">
        <v>255.27</v>
      </c>
      <c r="AK160" s="1288">
        <v>259.27999999999997</v>
      </c>
      <c r="AL160" s="1288">
        <v>263.29000000000002</v>
      </c>
      <c r="AM160" s="1289">
        <v>267.29000000000002</v>
      </c>
      <c r="AN160" s="1289">
        <v>271.3</v>
      </c>
      <c r="AO160" s="1289">
        <v>275.31</v>
      </c>
      <c r="AP160" s="1289">
        <v>279.32</v>
      </c>
      <c r="AQ160" s="1289">
        <v>207.16</v>
      </c>
      <c r="AR160" s="1289">
        <v>203.15</v>
      </c>
      <c r="AS160" s="1289">
        <v>159.52000000000001</v>
      </c>
      <c r="AT160" s="1289">
        <v>155.51</v>
      </c>
      <c r="AU160" s="1289">
        <v>151.5</v>
      </c>
    </row>
    <row r="161" spans="1:47">
      <c r="A161" s="1296">
        <v>347.02</v>
      </c>
      <c r="B161" s="1297">
        <v>352.74</v>
      </c>
      <c r="C161" s="1298">
        <v>358.45</v>
      </c>
      <c r="D161" s="1299">
        <v>364.16</v>
      </c>
      <c r="E161" s="1300">
        <v>369.88</v>
      </c>
      <c r="F161" s="1300">
        <v>375.59</v>
      </c>
      <c r="G161" s="1300">
        <v>381.31</v>
      </c>
      <c r="H161" s="1301">
        <v>387.02</v>
      </c>
      <c r="I161" s="1288">
        <v>392.74</v>
      </c>
      <c r="J161" s="1288">
        <v>398.45</v>
      </c>
      <c r="K161" s="1288">
        <v>404.17</v>
      </c>
      <c r="L161" s="1288">
        <v>409.88</v>
      </c>
      <c r="M161" s="1288">
        <v>415.6</v>
      </c>
      <c r="N161" s="1288">
        <v>421.32</v>
      </c>
      <c r="O161" s="1289">
        <v>427.03</v>
      </c>
      <c r="P161" s="1289">
        <v>432.74</v>
      </c>
      <c r="Q161" s="1289">
        <v>438.46</v>
      </c>
      <c r="R161" s="1289">
        <v>444.17</v>
      </c>
      <c r="S161" s="1289">
        <v>341.31</v>
      </c>
      <c r="T161" s="1289">
        <v>335.59</v>
      </c>
      <c r="U161" s="1289">
        <v>250.36</v>
      </c>
      <c r="V161" s="1289">
        <v>244.65</v>
      </c>
      <c r="W161" s="1289">
        <v>238.94</v>
      </c>
      <c r="X161" s="62">
        <v>157</v>
      </c>
      <c r="Y161" s="1296">
        <v>212.51</v>
      </c>
      <c r="Z161" s="1297">
        <v>216.55</v>
      </c>
      <c r="AA161" s="1298">
        <v>220.58</v>
      </c>
      <c r="AB161" s="1299">
        <v>224.62</v>
      </c>
      <c r="AC161" s="1300">
        <v>228.65</v>
      </c>
      <c r="AD161" s="1300">
        <v>232.68</v>
      </c>
      <c r="AE161" s="1285">
        <v>236.72</v>
      </c>
      <c r="AF161" s="1301">
        <v>240.75</v>
      </c>
      <c r="AG161" s="1288">
        <v>244.79</v>
      </c>
      <c r="AH161" s="1288">
        <v>248.82</v>
      </c>
      <c r="AI161" s="1288">
        <v>252.86</v>
      </c>
      <c r="AJ161" s="1288">
        <v>256.89</v>
      </c>
      <c r="AK161" s="1288">
        <v>260.93</v>
      </c>
      <c r="AL161" s="1288">
        <v>264.95999999999998</v>
      </c>
      <c r="AM161" s="1289">
        <v>269</v>
      </c>
      <c r="AN161" s="1289">
        <v>273.02999999999997</v>
      </c>
      <c r="AO161" s="1289">
        <v>277.07</v>
      </c>
      <c r="AP161" s="1289">
        <v>281.10000000000002</v>
      </c>
      <c r="AQ161" s="1289">
        <v>208.48</v>
      </c>
      <c r="AR161" s="1289">
        <v>204.44</v>
      </c>
      <c r="AS161" s="1289">
        <v>160.54</v>
      </c>
      <c r="AT161" s="1289">
        <v>156.51</v>
      </c>
      <c r="AU161" s="1289">
        <v>152.47</v>
      </c>
    </row>
    <row r="162" spans="1:47">
      <c r="A162" s="1296">
        <v>349.61</v>
      </c>
      <c r="B162" s="1297">
        <v>355.36</v>
      </c>
      <c r="C162" s="1298">
        <v>361.11</v>
      </c>
      <c r="D162" s="1299">
        <v>366.86</v>
      </c>
      <c r="E162" s="1300">
        <v>372.62</v>
      </c>
      <c r="F162" s="1300">
        <v>378.37</v>
      </c>
      <c r="G162" s="1300">
        <v>384.12</v>
      </c>
      <c r="H162" s="1301">
        <v>389.87</v>
      </c>
      <c r="I162" s="1288">
        <v>395.62</v>
      </c>
      <c r="J162" s="1288">
        <v>401.37</v>
      </c>
      <c r="K162" s="1288">
        <v>407.12</v>
      </c>
      <c r="L162" s="1288">
        <v>412.87</v>
      </c>
      <c r="M162" s="1288">
        <v>418.62</v>
      </c>
      <c r="N162" s="1288">
        <v>424.38</v>
      </c>
      <c r="O162" s="1289">
        <v>430.13</v>
      </c>
      <c r="P162" s="1289">
        <v>435.88</v>
      </c>
      <c r="Q162" s="1289">
        <v>441.63</v>
      </c>
      <c r="R162" s="1289">
        <v>447.38</v>
      </c>
      <c r="S162" s="1289">
        <v>343.86</v>
      </c>
      <c r="T162" s="1289">
        <v>338.11</v>
      </c>
      <c r="U162" s="1289">
        <v>252.18</v>
      </c>
      <c r="V162" s="1289">
        <v>246.43</v>
      </c>
      <c r="W162" s="1289">
        <v>240.68</v>
      </c>
      <c r="X162" s="62">
        <v>158</v>
      </c>
      <c r="Y162" s="1296">
        <v>213.86</v>
      </c>
      <c r="Z162" s="1297">
        <v>217.92</v>
      </c>
      <c r="AA162" s="1298">
        <v>221.98</v>
      </c>
      <c r="AB162" s="1299">
        <v>226.04</v>
      </c>
      <c r="AC162" s="1300">
        <v>230.1</v>
      </c>
      <c r="AD162" s="1300">
        <v>234.16</v>
      </c>
      <c r="AE162" s="1285">
        <v>238.22</v>
      </c>
      <c r="AF162" s="1301">
        <v>242.28</v>
      </c>
      <c r="AG162" s="1288">
        <v>246.34</v>
      </c>
      <c r="AH162" s="1288">
        <v>250.4</v>
      </c>
      <c r="AI162" s="1288">
        <v>254.46</v>
      </c>
      <c r="AJ162" s="1288">
        <v>258.52</v>
      </c>
      <c r="AK162" s="1288">
        <v>262.58</v>
      </c>
      <c r="AL162" s="1288">
        <v>266.64</v>
      </c>
      <c r="AM162" s="1289">
        <v>270.7</v>
      </c>
      <c r="AN162" s="1289">
        <v>274.77</v>
      </c>
      <c r="AO162" s="1289">
        <v>278.83</v>
      </c>
      <c r="AP162" s="1289">
        <v>282.89</v>
      </c>
      <c r="AQ162" s="1289">
        <v>209.8</v>
      </c>
      <c r="AR162" s="1289">
        <v>205.74</v>
      </c>
      <c r="AS162" s="1289">
        <v>161.56</v>
      </c>
      <c r="AT162" s="1289">
        <v>157.5</v>
      </c>
      <c r="AU162" s="1289">
        <v>153.44</v>
      </c>
    </row>
    <row r="163" spans="1:47">
      <c r="A163" s="1296">
        <v>351.79</v>
      </c>
      <c r="B163" s="1297">
        <v>357.58</v>
      </c>
      <c r="C163" s="1298">
        <v>363.37</v>
      </c>
      <c r="D163" s="1299">
        <v>369.16</v>
      </c>
      <c r="E163" s="1300">
        <v>374.94</v>
      </c>
      <c r="F163" s="1300">
        <v>380.73</v>
      </c>
      <c r="G163" s="1300">
        <v>386.52</v>
      </c>
      <c r="H163" s="1301">
        <v>392.32</v>
      </c>
      <c r="I163" s="1288">
        <v>398.09</v>
      </c>
      <c r="J163" s="1288">
        <v>403.88</v>
      </c>
      <c r="K163" s="1288">
        <v>409.67</v>
      </c>
      <c r="L163" s="1288">
        <v>415.46</v>
      </c>
      <c r="M163" s="1288">
        <v>421.24</v>
      </c>
      <c r="N163" s="1288">
        <v>427.03</v>
      </c>
      <c r="O163" s="1289">
        <v>432.82</v>
      </c>
      <c r="P163" s="1289">
        <v>438.61</v>
      </c>
      <c r="Q163" s="1289">
        <v>444.4</v>
      </c>
      <c r="R163" s="1289">
        <v>450.18</v>
      </c>
      <c r="S163" s="1289">
        <v>346.01</v>
      </c>
      <c r="T163" s="1289">
        <v>340.22</v>
      </c>
      <c r="U163" s="1289">
        <v>253.76</v>
      </c>
      <c r="V163" s="1289">
        <v>247.97</v>
      </c>
      <c r="W163" s="1289">
        <v>242.18</v>
      </c>
      <c r="X163" s="62">
        <v>159</v>
      </c>
      <c r="Y163" s="1296">
        <v>215.2</v>
      </c>
      <c r="Z163" s="1297">
        <v>219.29</v>
      </c>
      <c r="AA163" s="1298">
        <v>223.38</v>
      </c>
      <c r="AB163" s="1299">
        <v>227.46</v>
      </c>
      <c r="AC163" s="1300">
        <v>231.55</v>
      </c>
      <c r="AD163" s="1300">
        <v>235.63</v>
      </c>
      <c r="AE163" s="1285">
        <v>239.72</v>
      </c>
      <c r="AF163" s="1301">
        <v>243.81</v>
      </c>
      <c r="AG163" s="1288">
        <v>247.89</v>
      </c>
      <c r="AH163" s="1288">
        <v>251.98</v>
      </c>
      <c r="AI163" s="1288">
        <v>256.07</v>
      </c>
      <c r="AJ163" s="1288">
        <v>260.14999999999998</v>
      </c>
      <c r="AK163" s="1288">
        <v>264.24</v>
      </c>
      <c r="AL163" s="1288">
        <v>268.33</v>
      </c>
      <c r="AM163" s="1289">
        <v>272.41000000000003</v>
      </c>
      <c r="AN163" s="1289">
        <v>276.5</v>
      </c>
      <c r="AO163" s="1289">
        <v>280.58</v>
      </c>
      <c r="AP163" s="1289">
        <v>284.67</v>
      </c>
      <c r="AQ163" s="1289">
        <v>211.12</v>
      </c>
      <c r="AR163" s="1289">
        <v>207.03</v>
      </c>
      <c r="AS163" s="1289">
        <v>162.58000000000001</v>
      </c>
      <c r="AT163" s="1289">
        <v>158.49</v>
      </c>
      <c r="AU163" s="1289">
        <v>154.4</v>
      </c>
    </row>
    <row r="164" spans="1:47">
      <c r="A164" s="1296">
        <v>353.98</v>
      </c>
      <c r="B164" s="1297">
        <v>359.81</v>
      </c>
      <c r="C164" s="1298">
        <v>365.63</v>
      </c>
      <c r="D164" s="1299">
        <v>371.45</v>
      </c>
      <c r="E164" s="1300">
        <v>377.28</v>
      </c>
      <c r="F164" s="1300">
        <v>383.1</v>
      </c>
      <c r="G164" s="1300">
        <v>388.93</v>
      </c>
      <c r="H164" s="1301">
        <v>394.75</v>
      </c>
      <c r="I164" s="1288">
        <v>400.57</v>
      </c>
      <c r="J164" s="1288">
        <v>406.4</v>
      </c>
      <c r="K164" s="1288">
        <v>412.22</v>
      </c>
      <c r="L164" s="1288">
        <v>418.08</v>
      </c>
      <c r="M164" s="1288">
        <v>423.87</v>
      </c>
      <c r="N164" s="1288">
        <v>429.69</v>
      </c>
      <c r="O164" s="1289">
        <v>435.52</v>
      </c>
      <c r="P164" s="1289">
        <v>441.34</v>
      </c>
      <c r="Q164" s="1289">
        <v>447.17</v>
      </c>
      <c r="R164" s="1289">
        <v>452.99</v>
      </c>
      <c r="S164" s="1289">
        <v>348.16</v>
      </c>
      <c r="T164" s="1289">
        <v>342.33</v>
      </c>
      <c r="U164" s="1289">
        <v>255.34</v>
      </c>
      <c r="V164" s="1289">
        <v>249.52</v>
      </c>
      <c r="W164" s="1289">
        <v>243.69</v>
      </c>
      <c r="X164" s="62">
        <v>160</v>
      </c>
      <c r="Y164" s="1296">
        <v>216.55</v>
      </c>
      <c r="Z164" s="1297">
        <v>220.66</v>
      </c>
      <c r="AA164" s="1298">
        <v>224.78</v>
      </c>
      <c r="AB164" s="1299">
        <v>228.89</v>
      </c>
      <c r="AC164" s="1300">
        <v>233</v>
      </c>
      <c r="AD164" s="1300">
        <v>237.11</v>
      </c>
      <c r="AE164" s="1285">
        <v>241.2</v>
      </c>
      <c r="AF164" s="1301">
        <v>245.34</v>
      </c>
      <c r="AG164" s="1288">
        <v>249.45</v>
      </c>
      <c r="AH164" s="1288">
        <v>253.56</v>
      </c>
      <c r="AI164" s="1288">
        <v>257.67</v>
      </c>
      <c r="AJ164" s="1288">
        <v>261.77999999999997</v>
      </c>
      <c r="AK164" s="1288">
        <v>265.89999999999998</v>
      </c>
      <c r="AL164" s="1288">
        <v>270.01</v>
      </c>
      <c r="AM164" s="1289">
        <v>274.12</v>
      </c>
      <c r="AN164" s="1289">
        <v>278.23</v>
      </c>
      <c r="AO164" s="1289">
        <v>282.33999999999997</v>
      </c>
      <c r="AP164" s="1289">
        <v>286.45999999999998</v>
      </c>
      <c r="AQ164" s="1289">
        <v>212.44</v>
      </c>
      <c r="AR164" s="1289">
        <v>208.33</v>
      </c>
      <c r="AS164" s="1289">
        <v>163.6</v>
      </c>
      <c r="AT164" s="1289">
        <v>159.47999999999999</v>
      </c>
      <c r="AU164" s="1289">
        <v>155.37</v>
      </c>
    </row>
    <row r="165" spans="1:47">
      <c r="A165" s="1296">
        <v>356.18</v>
      </c>
      <c r="B165" s="1297">
        <v>362.04</v>
      </c>
      <c r="C165" s="1298">
        <v>367.9</v>
      </c>
      <c r="D165" s="1299">
        <v>373.76</v>
      </c>
      <c r="E165" s="1300">
        <v>379.62</v>
      </c>
      <c r="F165" s="1300">
        <v>385.48</v>
      </c>
      <c r="G165" s="1300" t="s">
        <v>1189</v>
      </c>
      <c r="H165" s="1301">
        <v>397.2</v>
      </c>
      <c r="I165" s="1288">
        <v>403.06</v>
      </c>
      <c r="J165" s="1288">
        <v>408.92</v>
      </c>
      <c r="K165" s="1288">
        <v>414.78</v>
      </c>
      <c r="L165" s="1288">
        <v>420.64</v>
      </c>
      <c r="M165" s="1288">
        <v>426.5</v>
      </c>
      <c r="N165" s="1288">
        <v>432.36</v>
      </c>
      <c r="O165" s="1289">
        <v>438.22</v>
      </c>
      <c r="P165" s="1289">
        <v>444.08</v>
      </c>
      <c r="Q165" s="1289">
        <v>449.94</v>
      </c>
      <c r="R165" s="1289">
        <v>455.8</v>
      </c>
      <c r="S165" s="1289">
        <v>350.32</v>
      </c>
      <c r="T165" s="1289">
        <v>344.45</v>
      </c>
      <c r="U165" s="1289">
        <v>256.93</v>
      </c>
      <c r="V165" s="1289">
        <v>251.07</v>
      </c>
      <c r="W165" s="1289">
        <v>245.21</v>
      </c>
      <c r="X165" s="62">
        <v>161</v>
      </c>
      <c r="Y165" s="1296">
        <v>217.9</v>
      </c>
      <c r="Z165" s="1297">
        <v>222.04</v>
      </c>
      <c r="AA165" s="1298">
        <v>226.18</v>
      </c>
      <c r="AB165" s="1299">
        <v>230.31</v>
      </c>
      <c r="AC165" s="1300">
        <v>234.45</v>
      </c>
      <c r="AD165" s="1300">
        <v>238.59</v>
      </c>
      <c r="AE165" s="1285">
        <v>242.73</v>
      </c>
      <c r="AF165" s="1301">
        <v>246.87</v>
      </c>
      <c r="AG165" s="1288">
        <v>251</v>
      </c>
      <c r="AH165" s="1288">
        <v>255.14</v>
      </c>
      <c r="AI165" s="1288">
        <v>259.27999999999997</v>
      </c>
      <c r="AJ165" s="1288">
        <v>263.42</v>
      </c>
      <c r="AK165" s="1288">
        <v>267.55</v>
      </c>
      <c r="AL165" s="1288">
        <v>271.69</v>
      </c>
      <c r="AM165" s="1289">
        <v>275.83</v>
      </c>
      <c r="AN165" s="1289">
        <v>279.97000000000003</v>
      </c>
      <c r="AO165" s="1289">
        <v>284.11</v>
      </c>
      <c r="AP165" s="1289">
        <v>288.24</v>
      </c>
      <c r="AQ165" s="1289">
        <v>213.76</v>
      </c>
      <c r="AR165" s="1289">
        <v>209.63</v>
      </c>
      <c r="AS165" s="1289">
        <v>164.62</v>
      </c>
      <c r="AT165" s="1289">
        <v>160.47999999999999</v>
      </c>
      <c r="AU165" s="1289">
        <v>156.34</v>
      </c>
    </row>
    <row r="166" spans="1:47">
      <c r="A166" s="1296">
        <v>358.37</v>
      </c>
      <c r="B166" s="1297">
        <v>364.27</v>
      </c>
      <c r="C166" s="1298">
        <v>370.17</v>
      </c>
      <c r="D166" s="1299">
        <v>376.06</v>
      </c>
      <c r="E166" s="1300">
        <v>381.96</v>
      </c>
      <c r="F166" s="1300">
        <v>387.86</v>
      </c>
      <c r="G166" s="1300">
        <v>393.76</v>
      </c>
      <c r="H166" s="1301">
        <v>399.65</v>
      </c>
      <c r="I166" s="1288">
        <v>405.55</v>
      </c>
      <c r="J166" s="1288">
        <v>411.45</v>
      </c>
      <c r="K166" s="1288">
        <v>417.34</v>
      </c>
      <c r="L166" s="1288">
        <v>423.24</v>
      </c>
      <c r="M166" s="1288">
        <v>429.14</v>
      </c>
      <c r="N166" s="1288">
        <v>435.03</v>
      </c>
      <c r="O166" s="1289">
        <v>440.93</v>
      </c>
      <c r="P166" s="1289">
        <v>446.83</v>
      </c>
      <c r="Q166" s="1289">
        <v>452.72</v>
      </c>
      <c r="R166" s="1289">
        <v>458.62</v>
      </c>
      <c r="S166" s="1289">
        <v>352.48</v>
      </c>
      <c r="T166" s="1289">
        <v>346.58</v>
      </c>
      <c r="U166" s="1289">
        <v>258.51</v>
      </c>
      <c r="V166" s="1289">
        <v>252.62</v>
      </c>
      <c r="W166" s="1289">
        <v>246.72</v>
      </c>
      <c r="X166" s="62">
        <v>162</v>
      </c>
      <c r="Y166" s="1296">
        <v>219.25</v>
      </c>
      <c r="Z166" s="1297">
        <v>223.42</v>
      </c>
      <c r="AA166" s="1298">
        <v>227.58</v>
      </c>
      <c r="AB166" s="1299">
        <v>231.74</v>
      </c>
      <c r="AC166" s="1300">
        <v>235.91</v>
      </c>
      <c r="AD166" s="1300">
        <v>240.07</v>
      </c>
      <c r="AE166" s="1285">
        <v>244.23</v>
      </c>
      <c r="AF166" s="1301">
        <v>248.4</v>
      </c>
      <c r="AG166" s="1288">
        <v>252.56</v>
      </c>
      <c r="AH166" s="1288">
        <v>256.72000000000003</v>
      </c>
      <c r="AI166" s="1288">
        <v>260.89</v>
      </c>
      <c r="AJ166" s="1288">
        <v>265.05</v>
      </c>
      <c r="AK166" s="1288">
        <v>269.20999999999998</v>
      </c>
      <c r="AL166" s="1288">
        <v>273.38</v>
      </c>
      <c r="AM166" s="1289">
        <v>277.54000000000002</v>
      </c>
      <c r="AN166" s="1289">
        <v>281.7</v>
      </c>
      <c r="AO166" s="1289">
        <v>285.87</v>
      </c>
      <c r="AP166" s="1289">
        <v>290.02999999999997</v>
      </c>
      <c r="AQ166" s="1289">
        <v>215.09</v>
      </c>
      <c r="AR166" s="1289">
        <v>210.93</v>
      </c>
      <c r="AS166" s="1289">
        <v>165.64</v>
      </c>
      <c r="AT166" s="1289">
        <v>161.47</v>
      </c>
      <c r="AU166" s="1289">
        <v>157.31</v>
      </c>
    </row>
    <row r="167" spans="1:47">
      <c r="A167" s="1296">
        <v>360.58</v>
      </c>
      <c r="B167" s="1297">
        <v>366.51</v>
      </c>
      <c r="C167" s="1298">
        <v>372.44</v>
      </c>
      <c r="D167" s="1299">
        <v>378.38</v>
      </c>
      <c r="E167" s="1300">
        <v>384.31</v>
      </c>
      <c r="F167" s="1300">
        <v>390.24</v>
      </c>
      <c r="G167" s="1300">
        <v>396.18</v>
      </c>
      <c r="H167" s="1301">
        <v>402.11</v>
      </c>
      <c r="I167" s="1288">
        <v>408.04</v>
      </c>
      <c r="J167" s="1288">
        <v>413.98</v>
      </c>
      <c r="K167" s="1288">
        <v>419.91</v>
      </c>
      <c r="L167" s="1288">
        <v>425.84</v>
      </c>
      <c r="M167" s="1288">
        <v>431.78</v>
      </c>
      <c r="N167" s="1288">
        <v>437.71</v>
      </c>
      <c r="O167" s="1289">
        <v>443.64</v>
      </c>
      <c r="P167" s="1289">
        <v>449.58</v>
      </c>
      <c r="Q167" s="1289">
        <v>455.51</v>
      </c>
      <c r="R167" s="1289">
        <v>461.44</v>
      </c>
      <c r="S167" s="1289">
        <v>354.65</v>
      </c>
      <c r="T167" s="1289">
        <v>348.71</v>
      </c>
      <c r="U167" s="1289">
        <v>260.11</v>
      </c>
      <c r="V167" s="1289">
        <v>254.17</v>
      </c>
      <c r="W167" s="1289">
        <v>248.24</v>
      </c>
      <c r="X167" s="62">
        <v>163</v>
      </c>
      <c r="Y167" s="1296">
        <v>220.61</v>
      </c>
      <c r="Z167" s="1297">
        <v>224.79</v>
      </c>
      <c r="AA167" s="1298">
        <v>228.98</v>
      </c>
      <c r="AB167" s="1299">
        <v>233.17</v>
      </c>
      <c r="AC167" s="1300">
        <v>237.36</v>
      </c>
      <c r="AD167" s="1300">
        <v>241.55</v>
      </c>
      <c r="AE167" s="1285">
        <v>245.74</v>
      </c>
      <c r="AF167" s="1301">
        <v>249.93</v>
      </c>
      <c r="AG167" s="1288">
        <v>254.12</v>
      </c>
      <c r="AH167" s="1288">
        <v>258.31</v>
      </c>
      <c r="AI167" s="1288">
        <v>262.5</v>
      </c>
      <c r="AJ167" s="1288">
        <v>266.69</v>
      </c>
      <c r="AK167" s="1288">
        <v>270.88</v>
      </c>
      <c r="AL167" s="1288">
        <v>275.06</v>
      </c>
      <c r="AM167" s="1289">
        <v>279.25</v>
      </c>
      <c r="AN167" s="1289">
        <v>283.44</v>
      </c>
      <c r="AO167" s="1289">
        <v>287.63</v>
      </c>
      <c r="AP167" s="1289">
        <v>291.82</v>
      </c>
      <c r="AQ167" s="1289">
        <v>216.42</v>
      </c>
      <c r="AR167" s="1289">
        <v>212.23</v>
      </c>
      <c r="AS167" s="1289">
        <v>166.66</v>
      </c>
      <c r="AT167" s="1289">
        <v>162.47</v>
      </c>
      <c r="AU167" s="1289">
        <v>158.28</v>
      </c>
    </row>
    <row r="168" spans="1:47">
      <c r="A168" s="1296">
        <v>362.79</v>
      </c>
      <c r="B168" s="1297">
        <v>368.76</v>
      </c>
      <c r="C168" s="1298">
        <v>374.73</v>
      </c>
      <c r="D168" s="1299">
        <v>380.7</v>
      </c>
      <c r="E168" s="1300">
        <v>386.67</v>
      </c>
      <c r="F168" s="1300">
        <v>392.64</v>
      </c>
      <c r="G168" s="1300">
        <v>398.61</v>
      </c>
      <c r="H168" s="1301">
        <v>404.57</v>
      </c>
      <c r="I168" s="1288">
        <v>410.54</v>
      </c>
      <c r="J168" s="1288">
        <v>416.51</v>
      </c>
      <c r="K168" s="1288">
        <v>422.48</v>
      </c>
      <c r="L168" s="1288">
        <v>428.45</v>
      </c>
      <c r="M168" s="1288">
        <v>434.42</v>
      </c>
      <c r="N168" s="1288">
        <v>440.39</v>
      </c>
      <c r="O168" s="1289">
        <v>446.36</v>
      </c>
      <c r="P168" s="1289">
        <v>452.33</v>
      </c>
      <c r="Q168" s="1289">
        <v>458.3</v>
      </c>
      <c r="R168" s="1289">
        <v>464.27</v>
      </c>
      <c r="S168" s="1289">
        <v>356.82</v>
      </c>
      <c r="T168" s="1289">
        <v>350.85</v>
      </c>
      <c r="U168" s="1289">
        <v>261.7</v>
      </c>
      <c r="V168" s="1289">
        <v>255.73</v>
      </c>
      <c r="W168" s="1289">
        <v>249.76</v>
      </c>
      <c r="X168" s="62">
        <v>164</v>
      </c>
      <c r="Y168" s="1296">
        <v>221.96</v>
      </c>
      <c r="Z168" s="1297">
        <v>226.17</v>
      </c>
      <c r="AA168" s="1298">
        <v>230.39</v>
      </c>
      <c r="AB168" s="1299">
        <v>234.6</v>
      </c>
      <c r="AC168" s="1300">
        <v>238.82</v>
      </c>
      <c r="AD168" s="1300">
        <v>245.03</v>
      </c>
      <c r="AE168" s="1285">
        <v>247.25</v>
      </c>
      <c r="AF168" s="1301">
        <v>251.46</v>
      </c>
      <c r="AG168" s="1288">
        <v>255.68</v>
      </c>
      <c r="AH168" s="1288">
        <v>259.89</v>
      </c>
      <c r="AI168" s="1288">
        <v>264.11</v>
      </c>
      <c r="AJ168" s="1288">
        <v>268.32</v>
      </c>
      <c r="AK168" s="1288">
        <v>272.54000000000002</v>
      </c>
      <c r="AL168" s="1288">
        <v>276.75</v>
      </c>
      <c r="AM168" s="1289">
        <v>280.97000000000003</v>
      </c>
      <c r="AN168" s="1289">
        <v>285.18</v>
      </c>
      <c r="AO168" s="1289">
        <v>289.39999999999998</v>
      </c>
      <c r="AP168" s="1289">
        <v>293.61</v>
      </c>
      <c r="AQ168" s="1289">
        <v>217.75</v>
      </c>
      <c r="AR168" s="1289">
        <v>213.53</v>
      </c>
      <c r="AS168" s="1289">
        <v>167.68</v>
      </c>
      <c r="AT168" s="1289">
        <v>163.47</v>
      </c>
      <c r="AU168" s="1289">
        <v>159.25</v>
      </c>
    </row>
    <row r="169" spans="1:47">
      <c r="A169" s="1296">
        <v>365</v>
      </c>
      <c r="B169" s="1297">
        <v>371.01</v>
      </c>
      <c r="C169" s="1298">
        <v>377.01</v>
      </c>
      <c r="D169" s="1299">
        <v>383.02</v>
      </c>
      <c r="E169" s="1300">
        <v>389.03</v>
      </c>
      <c r="F169" s="1300">
        <v>395.03</v>
      </c>
      <c r="G169" s="1300">
        <v>401.04</v>
      </c>
      <c r="H169" s="1301">
        <v>407.04</v>
      </c>
      <c r="I169" s="1288">
        <v>413.05</v>
      </c>
      <c r="J169" s="1288">
        <v>419.06</v>
      </c>
      <c r="K169" s="1288">
        <v>425.06</v>
      </c>
      <c r="L169" s="1288">
        <v>431.07</v>
      </c>
      <c r="M169" s="1288">
        <v>437.07</v>
      </c>
      <c r="N169" s="1288">
        <v>443.08</v>
      </c>
      <c r="O169" s="1289">
        <v>449.09</v>
      </c>
      <c r="P169" s="1289">
        <v>455.09</v>
      </c>
      <c r="Q169" s="1289">
        <v>461.1</v>
      </c>
      <c r="R169" s="1289">
        <v>467.1</v>
      </c>
      <c r="S169" s="1289">
        <v>359</v>
      </c>
      <c r="T169" s="1289">
        <v>352.99</v>
      </c>
      <c r="U169" s="1289">
        <v>263.3</v>
      </c>
      <c r="V169" s="1289">
        <v>257.29000000000002</v>
      </c>
      <c r="W169" s="1289">
        <v>251.29</v>
      </c>
      <c r="X169" s="62">
        <v>165</v>
      </c>
      <c r="Y169" s="1296">
        <v>223.32</v>
      </c>
      <c r="Z169" s="1297">
        <v>227.56</v>
      </c>
      <c r="AA169" s="1298">
        <v>231.8</v>
      </c>
      <c r="AB169" s="1299">
        <v>236.04</v>
      </c>
      <c r="AC169" s="1300">
        <v>240.28</v>
      </c>
      <c r="AD169" s="1300">
        <v>244.52</v>
      </c>
      <c r="AE169" s="1285">
        <v>248.76</v>
      </c>
      <c r="AF169" s="1301">
        <v>253</v>
      </c>
      <c r="AG169" s="1288">
        <v>257.24</v>
      </c>
      <c r="AH169" s="1288">
        <v>261.48</v>
      </c>
      <c r="AI169" s="1288">
        <v>265.72000000000003</v>
      </c>
      <c r="AJ169" s="1288">
        <v>269.95999999999998</v>
      </c>
      <c r="AK169" s="1288">
        <v>274.2</v>
      </c>
      <c r="AL169" s="1288">
        <v>278.44</v>
      </c>
      <c r="AM169" s="1289">
        <v>282.68</v>
      </c>
      <c r="AN169" s="1289">
        <v>286.92</v>
      </c>
      <c r="AO169" s="1289">
        <v>291.16000000000003</v>
      </c>
      <c r="AP169" s="1289">
        <v>295.39999999999998</v>
      </c>
      <c r="AQ169" s="1289">
        <v>219.08</v>
      </c>
      <c r="AR169" s="1289">
        <v>214.83</v>
      </c>
      <c r="AS169" s="1289">
        <v>168.71</v>
      </c>
      <c r="AT169" s="1289">
        <v>164.47</v>
      </c>
      <c r="AU169" s="1289">
        <v>160.22999999999999</v>
      </c>
    </row>
    <row r="170" spans="1:47">
      <c r="A170" s="1296">
        <v>367.22</v>
      </c>
      <c r="B170" s="1297">
        <v>373.27</v>
      </c>
      <c r="C170" s="1298">
        <v>379.31</v>
      </c>
      <c r="D170" s="1299">
        <v>385.35</v>
      </c>
      <c r="E170" s="1300">
        <v>391.39</v>
      </c>
      <c r="F170" s="1300">
        <v>397.44</v>
      </c>
      <c r="G170" s="1300">
        <v>403.48</v>
      </c>
      <c r="H170" s="1301">
        <v>409.52</v>
      </c>
      <c r="I170" s="1288">
        <v>415.56</v>
      </c>
      <c r="J170" s="1288">
        <v>421.6</v>
      </c>
      <c r="K170" s="1288">
        <v>427.65</v>
      </c>
      <c r="L170" s="1288">
        <v>433.69</v>
      </c>
      <c r="M170" s="1288">
        <v>439.73</v>
      </c>
      <c r="N170" s="1288">
        <v>445.77</v>
      </c>
      <c r="O170" s="1289">
        <v>451.82</v>
      </c>
      <c r="P170" s="1289">
        <v>457.86</v>
      </c>
      <c r="Q170" s="1289">
        <v>463.9</v>
      </c>
      <c r="R170" s="1289">
        <v>469.94</v>
      </c>
      <c r="S170" s="1289">
        <v>361.18</v>
      </c>
      <c r="T170" s="1289">
        <v>355.14</v>
      </c>
      <c r="U170" s="1289">
        <v>264.89999999999998</v>
      </c>
      <c r="V170" s="1289">
        <v>258.86</v>
      </c>
      <c r="W170" s="1289">
        <v>252.81</v>
      </c>
      <c r="X170" s="62">
        <v>166</v>
      </c>
      <c r="Y170" s="1296">
        <v>224.67</v>
      </c>
      <c r="Z170" s="1297">
        <v>228.94</v>
      </c>
      <c r="AA170" s="1298">
        <v>233.21</v>
      </c>
      <c r="AB170" s="1299">
        <v>237.47</v>
      </c>
      <c r="AC170" s="1300">
        <v>241.74</v>
      </c>
      <c r="AD170" s="1300">
        <v>246</v>
      </c>
      <c r="AE170" s="1285">
        <v>250.27</v>
      </c>
      <c r="AF170" s="1301">
        <v>254.54</v>
      </c>
      <c r="AG170" s="1288">
        <v>258.8</v>
      </c>
      <c r="AH170" s="1288">
        <v>263.08</v>
      </c>
      <c r="AI170" s="1288">
        <v>267.33</v>
      </c>
      <c r="AJ170" s="1288">
        <v>271.60000000000002</v>
      </c>
      <c r="AK170" s="1288">
        <v>275.87</v>
      </c>
      <c r="AL170" s="1288">
        <v>280.13</v>
      </c>
      <c r="AM170" s="1289">
        <v>284.39999999999998</v>
      </c>
      <c r="AN170" s="1289">
        <v>288.67</v>
      </c>
      <c r="AO170" s="1289">
        <v>292.93</v>
      </c>
      <c r="AP170" s="1289">
        <v>297.2</v>
      </c>
      <c r="AQ170" s="1289">
        <v>220.41</v>
      </c>
      <c r="AR170" s="1289">
        <v>216.14</v>
      </c>
      <c r="AS170" s="1289">
        <v>169.73</v>
      </c>
      <c r="AT170" s="1289">
        <v>165.46</v>
      </c>
      <c r="AU170" s="1289">
        <v>161.19999999999999</v>
      </c>
    </row>
    <row r="171" spans="1:47">
      <c r="A171" s="1296">
        <v>369.45</v>
      </c>
      <c r="B171" s="1297">
        <v>375.53</v>
      </c>
      <c r="C171" s="1298">
        <v>381.61</v>
      </c>
      <c r="D171" s="1299">
        <v>387.69</v>
      </c>
      <c r="E171" s="1300">
        <v>393.76</v>
      </c>
      <c r="F171" s="1300">
        <v>399.54</v>
      </c>
      <c r="G171" s="1300">
        <v>405.92</v>
      </c>
      <c r="H171" s="1301">
        <v>412</v>
      </c>
      <c r="I171" s="1288">
        <v>418.08</v>
      </c>
      <c r="J171" s="1288">
        <v>424.16</v>
      </c>
      <c r="K171" s="1288">
        <v>430.24</v>
      </c>
      <c r="L171" s="1288">
        <v>436.32</v>
      </c>
      <c r="M171" s="1288">
        <v>442.39</v>
      </c>
      <c r="N171" s="1288">
        <v>448.47</v>
      </c>
      <c r="O171" s="1289">
        <v>454.55</v>
      </c>
      <c r="P171" s="1289">
        <v>460.63</v>
      </c>
      <c r="Q171" s="1289">
        <v>466.71</v>
      </c>
      <c r="R171" s="1289">
        <v>472.79</v>
      </c>
      <c r="S171" s="1289">
        <v>363.37</v>
      </c>
      <c r="T171" s="1289">
        <v>357.29</v>
      </c>
      <c r="U171" s="1289">
        <v>266.5</v>
      </c>
      <c r="V171" s="1289">
        <v>260.42</v>
      </c>
      <c r="W171" s="1289">
        <v>254.34</v>
      </c>
      <c r="X171" s="62">
        <v>167</v>
      </c>
      <c r="Y171" s="1296">
        <v>226.03</v>
      </c>
      <c r="Z171" s="1297">
        <v>230.32</v>
      </c>
      <c r="AA171" s="1298">
        <v>234.62</v>
      </c>
      <c r="AB171" s="1299">
        <v>238.91</v>
      </c>
      <c r="AC171" s="1300">
        <v>243.2</v>
      </c>
      <c r="AD171" s="1300">
        <v>247.49</v>
      </c>
      <c r="AE171" s="1285">
        <v>251.78</v>
      </c>
      <c r="AF171" s="1301">
        <v>256.07</v>
      </c>
      <c r="AG171" s="1288">
        <v>260.37</v>
      </c>
      <c r="AH171" s="1288">
        <v>264.66000000000003</v>
      </c>
      <c r="AI171" s="1288">
        <v>268.95</v>
      </c>
      <c r="AJ171" s="1288">
        <v>273.24</v>
      </c>
      <c r="AK171" s="1288">
        <v>277.52999999999997</v>
      </c>
      <c r="AL171" s="1288">
        <v>281.83</v>
      </c>
      <c r="AM171" s="1289">
        <v>286.12</v>
      </c>
      <c r="AN171" s="1289">
        <v>290.41000000000003</v>
      </c>
      <c r="AO171" s="1289">
        <v>294.7</v>
      </c>
      <c r="AP171" s="1289">
        <v>298.99</v>
      </c>
      <c r="AQ171" s="1289">
        <v>221.74</v>
      </c>
      <c r="AR171" s="1289">
        <v>217.45</v>
      </c>
      <c r="AS171" s="1289">
        <v>170.76</v>
      </c>
      <c r="AT171" s="1289">
        <v>166.46</v>
      </c>
      <c r="AU171" s="1289">
        <v>162.16999999999999</v>
      </c>
    </row>
    <row r="172" spans="1:47">
      <c r="A172" s="1296">
        <v>371.68</v>
      </c>
      <c r="B172" s="1297">
        <v>377.8</v>
      </c>
      <c r="C172" s="1298">
        <v>383.91</v>
      </c>
      <c r="D172" s="1299">
        <v>390.03</v>
      </c>
      <c r="E172" s="1300">
        <v>396.14</v>
      </c>
      <c r="F172" s="1300">
        <v>402.26</v>
      </c>
      <c r="G172" s="1300">
        <v>408.37</v>
      </c>
      <c r="H172" s="1301">
        <v>414.49</v>
      </c>
      <c r="I172" s="1288">
        <v>420.6</v>
      </c>
      <c r="J172" s="1288">
        <v>426.72</v>
      </c>
      <c r="K172" s="1288">
        <v>432.83</v>
      </c>
      <c r="L172" s="1288">
        <v>438.95</v>
      </c>
      <c r="M172" s="1288">
        <v>445.06</v>
      </c>
      <c r="N172" s="1288">
        <v>451.18</v>
      </c>
      <c r="O172" s="1289">
        <v>457.29</v>
      </c>
      <c r="P172" s="1289">
        <v>463.41</v>
      </c>
      <c r="Q172" s="1289">
        <v>469.52</v>
      </c>
      <c r="R172" s="1289">
        <v>475.64</v>
      </c>
      <c r="S172" s="1289">
        <v>365.57</v>
      </c>
      <c r="T172" s="1289">
        <v>359.45</v>
      </c>
      <c r="U172" s="1289">
        <v>268.11</v>
      </c>
      <c r="V172" s="1289">
        <v>261.99</v>
      </c>
      <c r="W172" s="1289">
        <v>255.88</v>
      </c>
      <c r="X172" s="62">
        <v>168</v>
      </c>
      <c r="Y172" s="1296">
        <v>227.39</v>
      </c>
      <c r="Z172" s="1297">
        <v>231.71</v>
      </c>
      <c r="AA172" s="1298">
        <v>236.03</v>
      </c>
      <c r="AB172" s="1299">
        <v>240.34</v>
      </c>
      <c r="AC172" s="1300">
        <v>244.66</v>
      </c>
      <c r="AD172" s="1300">
        <v>248.98</v>
      </c>
      <c r="AE172" s="1285">
        <v>253.3</v>
      </c>
      <c r="AF172" s="1301">
        <v>257.61</v>
      </c>
      <c r="AG172" s="1288">
        <v>261.93</v>
      </c>
      <c r="AH172" s="1288">
        <v>266.25</v>
      </c>
      <c r="AI172" s="1288">
        <v>270.57</v>
      </c>
      <c r="AJ172" s="1288">
        <v>274.89</v>
      </c>
      <c r="AK172" s="1288">
        <v>279.2</v>
      </c>
      <c r="AL172" s="1288">
        <v>283.52</v>
      </c>
      <c r="AM172" s="1289">
        <v>287.83999999999997</v>
      </c>
      <c r="AN172" s="1289">
        <v>292.16000000000003</v>
      </c>
      <c r="AO172" s="1289">
        <v>296.47000000000003</v>
      </c>
      <c r="AP172" s="1289">
        <v>300.79000000000002</v>
      </c>
      <c r="AQ172" s="1289">
        <v>223.07</v>
      </c>
      <c r="AR172" s="1289">
        <v>218.76</v>
      </c>
      <c r="AS172" s="1289">
        <v>171.78</v>
      </c>
      <c r="AT172" s="1289">
        <v>167.47</v>
      </c>
      <c r="AU172" s="1289">
        <v>163.15</v>
      </c>
    </row>
    <row r="173" spans="1:47">
      <c r="A173" s="1296">
        <v>373.44</v>
      </c>
      <c r="B173" s="1297">
        <v>379.59</v>
      </c>
      <c r="C173" s="1298">
        <v>385.75</v>
      </c>
      <c r="D173" s="1299">
        <v>391.9</v>
      </c>
      <c r="E173" s="1300">
        <v>398.05</v>
      </c>
      <c r="F173" s="1300">
        <v>404.2</v>
      </c>
      <c r="G173" s="1300">
        <v>410.35</v>
      </c>
      <c r="H173" s="1301">
        <v>416.5</v>
      </c>
      <c r="I173" s="1288">
        <v>422.66</v>
      </c>
      <c r="J173" s="1288">
        <v>428.81</v>
      </c>
      <c r="K173" s="1288">
        <v>434.96</v>
      </c>
      <c r="L173" s="1288">
        <v>441.11</v>
      </c>
      <c r="M173" s="1288">
        <v>447.26</v>
      </c>
      <c r="N173" s="1288">
        <v>453.41</v>
      </c>
      <c r="O173" s="1289">
        <v>459.57</v>
      </c>
      <c r="P173" s="1289">
        <v>465.72</v>
      </c>
      <c r="Q173" s="1289">
        <v>471.87</v>
      </c>
      <c r="R173" s="1289">
        <v>478.02</v>
      </c>
      <c r="S173" s="1289">
        <v>367.29</v>
      </c>
      <c r="T173" s="1289">
        <v>361.14</v>
      </c>
      <c r="U173" s="1289">
        <v>269.44</v>
      </c>
      <c r="V173" s="1289">
        <v>263.29000000000002</v>
      </c>
      <c r="W173" s="1289">
        <v>257.14</v>
      </c>
      <c r="X173" s="62">
        <v>169</v>
      </c>
      <c r="Y173" s="1296">
        <v>228.75</v>
      </c>
      <c r="Z173" s="1297">
        <v>233.1</v>
      </c>
      <c r="AA173" s="1298">
        <v>237.44</v>
      </c>
      <c r="AB173" s="1299">
        <v>241.78</v>
      </c>
      <c r="AC173" s="1300">
        <v>246.13</v>
      </c>
      <c r="AD173" s="1300">
        <v>250.47</v>
      </c>
      <c r="AE173" s="1285">
        <v>254.81</v>
      </c>
      <c r="AF173" s="1301">
        <v>259.16000000000003</v>
      </c>
      <c r="AG173" s="1288">
        <v>263.5</v>
      </c>
      <c r="AH173" s="1288">
        <v>267.83999999999997</v>
      </c>
      <c r="AI173" s="1288">
        <v>272.19</v>
      </c>
      <c r="AJ173" s="1288">
        <v>276.52999999999997</v>
      </c>
      <c r="AK173" s="1288">
        <v>280.87</v>
      </c>
      <c r="AL173" s="1288">
        <v>285.22000000000003</v>
      </c>
      <c r="AM173" s="1289">
        <v>289.56</v>
      </c>
      <c r="AN173" s="1289">
        <v>293.89999999999998</v>
      </c>
      <c r="AO173" s="1289">
        <v>298.25</v>
      </c>
      <c r="AP173" s="1289">
        <v>302.58999999999997</v>
      </c>
      <c r="AQ173" s="1289">
        <v>224.41</v>
      </c>
      <c r="AR173" s="1289">
        <v>220.07</v>
      </c>
      <c r="AS173" s="1289">
        <v>172.81</v>
      </c>
      <c r="AT173" s="1289">
        <v>168.47</v>
      </c>
      <c r="AU173" s="1289">
        <v>164.12</v>
      </c>
    </row>
    <row r="174" spans="1:47">
      <c r="A174" s="1296">
        <v>375.68</v>
      </c>
      <c r="B174" s="1297">
        <v>381.87</v>
      </c>
      <c r="C174" s="1298">
        <v>388.06</v>
      </c>
      <c r="D174" s="1299">
        <v>394.25</v>
      </c>
      <c r="E174" s="1300">
        <v>400.43</v>
      </c>
      <c r="F174" s="1300">
        <v>406.62</v>
      </c>
      <c r="G174" s="1300">
        <v>412.81</v>
      </c>
      <c r="H174" s="1301">
        <v>419</v>
      </c>
      <c r="I174" s="1288">
        <v>425.19</v>
      </c>
      <c r="J174" s="1288">
        <v>431.37</v>
      </c>
      <c r="K174" s="1288">
        <v>437.56</v>
      </c>
      <c r="L174" s="1288">
        <v>443.75</v>
      </c>
      <c r="M174" s="1288">
        <v>449.94900000000001</v>
      </c>
      <c r="N174" s="1288">
        <v>456.13</v>
      </c>
      <c r="O174" s="1289">
        <v>462.31</v>
      </c>
      <c r="P174" s="1289">
        <v>468.5</v>
      </c>
      <c r="Q174" s="1289">
        <v>474.69</v>
      </c>
      <c r="R174" s="1289">
        <v>480.88</v>
      </c>
      <c r="S174" s="1289">
        <v>369.49</v>
      </c>
      <c r="T174" s="1289">
        <v>363.31</v>
      </c>
      <c r="U174" s="1289">
        <v>271.05</v>
      </c>
      <c r="V174" s="1289">
        <v>264.86</v>
      </c>
      <c r="W174" s="1289">
        <v>258.68</v>
      </c>
      <c r="X174" s="62">
        <v>170</v>
      </c>
      <c r="Y174" s="1296">
        <v>230.12</v>
      </c>
      <c r="Z174" s="1297">
        <v>234.49</v>
      </c>
      <c r="AA174" s="1298">
        <v>238.85</v>
      </c>
      <c r="AB174" s="1299">
        <v>243.22</v>
      </c>
      <c r="AC174" s="1300">
        <v>247.59</v>
      </c>
      <c r="AD174" s="1300">
        <v>251.96</v>
      </c>
      <c r="AE174" s="1285">
        <v>256.33</v>
      </c>
      <c r="AF174" s="1301">
        <v>260.7</v>
      </c>
      <c r="AG174" s="1288">
        <v>265.07</v>
      </c>
      <c r="AH174" s="1288">
        <v>269.44</v>
      </c>
      <c r="AI174" s="1288">
        <v>273.81</v>
      </c>
      <c r="AJ174" s="1288">
        <v>278.18</v>
      </c>
      <c r="AK174" s="1288">
        <v>282.54000000000002</v>
      </c>
      <c r="AL174" s="1288">
        <v>286.91000000000003</v>
      </c>
      <c r="AM174" s="1289">
        <v>291.27999999999997</v>
      </c>
      <c r="AN174" s="1289">
        <v>295.64999999999998</v>
      </c>
      <c r="AO174" s="1289">
        <v>300.02</v>
      </c>
      <c r="AP174" s="1289">
        <v>304.39</v>
      </c>
      <c r="AQ174" s="1289">
        <v>225.75</v>
      </c>
      <c r="AR174" s="1289">
        <v>221.38</v>
      </c>
      <c r="AS174" s="1289">
        <v>173.84</v>
      </c>
      <c r="AT174" s="1289">
        <v>169.47</v>
      </c>
      <c r="AU174" s="1289">
        <v>165.1</v>
      </c>
    </row>
    <row r="175" spans="1:47">
      <c r="A175" s="1296">
        <v>377.93</v>
      </c>
      <c r="B175" s="1297">
        <v>384.15</v>
      </c>
      <c r="C175" s="1298">
        <v>390.37</v>
      </c>
      <c r="D175" s="1299">
        <v>396.6</v>
      </c>
      <c r="E175" s="1300">
        <v>402.82</v>
      </c>
      <c r="F175" s="1300">
        <v>409.05</v>
      </c>
      <c r="G175" s="1300">
        <v>415.27</v>
      </c>
      <c r="H175" s="1301">
        <v>421.5</v>
      </c>
      <c r="I175" s="1288">
        <v>427.72</v>
      </c>
      <c r="J175" s="1288">
        <v>433.94</v>
      </c>
      <c r="K175" s="1288">
        <v>440.17</v>
      </c>
      <c r="L175" s="1288">
        <v>446.39</v>
      </c>
      <c r="M175" s="1288">
        <v>452.62</v>
      </c>
      <c r="N175" s="1288">
        <v>458.84</v>
      </c>
      <c r="O175" s="1289">
        <v>465.07</v>
      </c>
      <c r="P175" s="1289">
        <v>471.29</v>
      </c>
      <c r="Q175" s="1289">
        <v>477.52</v>
      </c>
      <c r="R175" s="1289">
        <v>483.74</v>
      </c>
      <c r="S175" s="1289">
        <v>371.7</v>
      </c>
      <c r="T175" s="1289">
        <v>365.48</v>
      </c>
      <c r="U175" s="1289">
        <v>272.67</v>
      </c>
      <c r="V175" s="1289">
        <v>266.44</v>
      </c>
      <c r="W175" s="1289">
        <v>260.22000000000003</v>
      </c>
      <c r="X175" s="62">
        <v>171</v>
      </c>
      <c r="Y175" s="1296">
        <v>231.48</v>
      </c>
      <c r="Z175" s="1297">
        <v>235.88</v>
      </c>
      <c r="AA175" s="1298">
        <v>240.27</v>
      </c>
      <c r="AB175" s="1299">
        <v>244.67</v>
      </c>
      <c r="AC175" s="1300">
        <v>249.06</v>
      </c>
      <c r="AD175" s="1300">
        <v>253.46</v>
      </c>
      <c r="AE175" s="1285">
        <v>257.85000000000002</v>
      </c>
      <c r="AF175" s="1301">
        <v>262.24</v>
      </c>
      <c r="AG175" s="1288">
        <v>266.64</v>
      </c>
      <c r="AH175" s="1288">
        <v>271.02999999999997</v>
      </c>
      <c r="AI175" s="1288">
        <v>275.43</v>
      </c>
      <c r="AJ175" s="1288">
        <v>279.82</v>
      </c>
      <c r="AK175" s="1288">
        <v>284.22000000000003</v>
      </c>
      <c r="AL175" s="1288">
        <v>288.61</v>
      </c>
      <c r="AM175" s="1289">
        <v>293.01</v>
      </c>
      <c r="AN175" s="1289">
        <v>297.39999999999998</v>
      </c>
      <c r="AO175" s="1289">
        <v>301.8</v>
      </c>
      <c r="AP175" s="1289">
        <v>306.19</v>
      </c>
      <c r="AQ175" s="1289">
        <v>227.09</v>
      </c>
      <c r="AR175" s="1289">
        <v>222.69</v>
      </c>
      <c r="AS175" s="1289">
        <v>174.87</v>
      </c>
      <c r="AT175" s="1289">
        <v>170.47</v>
      </c>
      <c r="AU175" s="1289">
        <v>166.08</v>
      </c>
    </row>
    <row r="176" spans="1:47">
      <c r="A176" s="1296">
        <v>380.18</v>
      </c>
      <c r="B176" s="1297">
        <v>386.44</v>
      </c>
      <c r="C176" s="1298">
        <v>392.7</v>
      </c>
      <c r="D176" s="1299">
        <v>398.96</v>
      </c>
      <c r="E176" s="1300">
        <v>405.22</v>
      </c>
      <c r="F176" s="1300">
        <v>411.48</v>
      </c>
      <c r="G176" s="1300">
        <v>417.74</v>
      </c>
      <c r="H176" s="1301">
        <v>424</v>
      </c>
      <c r="I176" s="1288">
        <v>430.26</v>
      </c>
      <c r="J176" s="1288">
        <v>436.52</v>
      </c>
      <c r="K176" s="1288">
        <v>442.78</v>
      </c>
      <c r="L176" s="1288">
        <v>449.04</v>
      </c>
      <c r="M176" s="1288">
        <v>455.3</v>
      </c>
      <c r="N176" s="1288">
        <v>461.57</v>
      </c>
      <c r="O176" s="1289">
        <v>467.83</v>
      </c>
      <c r="P176" s="1289">
        <v>474.09</v>
      </c>
      <c r="Q176" s="1289">
        <v>480.35</v>
      </c>
      <c r="R176" s="1289">
        <v>486.61</v>
      </c>
      <c r="S176" s="1289">
        <v>373.91</v>
      </c>
      <c r="T176" s="1289">
        <v>367.65</v>
      </c>
      <c r="U176" s="1289">
        <v>274.27999999999997</v>
      </c>
      <c r="V176" s="1289">
        <v>268.02</v>
      </c>
      <c r="W176" s="1289">
        <v>261.76</v>
      </c>
      <c r="X176" s="62">
        <v>172</v>
      </c>
      <c r="Y176" s="1296">
        <v>232.85</v>
      </c>
      <c r="Z176" s="1297">
        <v>237.27</v>
      </c>
      <c r="AA176" s="1298">
        <v>241</v>
      </c>
      <c r="AB176" s="1299">
        <v>246.11</v>
      </c>
      <c r="AC176" s="1300">
        <v>250.53</v>
      </c>
      <c r="AD176" s="1300">
        <v>254.95</v>
      </c>
      <c r="AE176" s="1285">
        <v>259.37</v>
      </c>
      <c r="AF176" s="1301">
        <v>263.79000000000002</v>
      </c>
      <c r="AG176" s="1288">
        <v>268.20999999999998</v>
      </c>
      <c r="AH176" s="1288">
        <v>272.63</v>
      </c>
      <c r="AI176" s="1288">
        <v>277.05</v>
      </c>
      <c r="AJ176" s="1288">
        <v>281.47000000000003</v>
      </c>
      <c r="AK176" s="1288">
        <v>285.89</v>
      </c>
      <c r="AL176" s="1288">
        <v>290.31</v>
      </c>
      <c r="AM176" s="1289">
        <v>294.73</v>
      </c>
      <c r="AN176" s="1289">
        <v>299.14999999999998</v>
      </c>
      <c r="AO176" s="1289">
        <v>303.57</v>
      </c>
      <c r="AP176" s="1289">
        <v>307.99</v>
      </c>
      <c r="AQ176" s="1289">
        <v>228.43</v>
      </c>
      <c r="AR176" s="1289">
        <v>224.01</v>
      </c>
      <c r="AS176" s="1289">
        <v>175.9</v>
      </c>
      <c r="AT176" s="1289">
        <v>171.48</v>
      </c>
      <c r="AU176" s="1289">
        <v>167.06</v>
      </c>
    </row>
    <row r="177" spans="1:47">
      <c r="A177" s="1296">
        <v>382.43</v>
      </c>
      <c r="B177" s="1297">
        <v>388.73</v>
      </c>
      <c r="C177" s="1298">
        <v>395.03</v>
      </c>
      <c r="D177" s="1299">
        <v>401.32</v>
      </c>
      <c r="E177" s="1300">
        <v>407.62</v>
      </c>
      <c r="F177" s="1300">
        <v>413.92</v>
      </c>
      <c r="G177" s="1300">
        <v>420.21</v>
      </c>
      <c r="H177" s="1301">
        <v>426.51</v>
      </c>
      <c r="I177" s="1288">
        <v>432.81</v>
      </c>
      <c r="J177" s="1288">
        <v>439.11</v>
      </c>
      <c r="K177" s="1288">
        <v>445.4</v>
      </c>
      <c r="L177" s="1288">
        <v>451.7</v>
      </c>
      <c r="M177" s="1288">
        <v>458</v>
      </c>
      <c r="N177" s="1288">
        <v>464.29</v>
      </c>
      <c r="O177" s="1289">
        <v>470.59</v>
      </c>
      <c r="P177" s="1289">
        <v>476.89</v>
      </c>
      <c r="Q177" s="1289">
        <v>483.19</v>
      </c>
      <c r="R177" s="1289">
        <v>489.48</v>
      </c>
      <c r="S177" s="1289">
        <v>376.13</v>
      </c>
      <c r="T177" s="1289">
        <v>369.84</v>
      </c>
      <c r="U177" s="1289">
        <v>275.91000000000003</v>
      </c>
      <c r="V177" s="1289">
        <v>269.61</v>
      </c>
      <c r="W177" s="1289">
        <v>263.31</v>
      </c>
      <c r="X177" s="62">
        <v>173</v>
      </c>
      <c r="Y177" s="1296">
        <v>234.08</v>
      </c>
      <c r="Z177" s="1297">
        <v>238.53</v>
      </c>
      <c r="AA177" s="1298">
        <v>242.98</v>
      </c>
      <c r="AB177" s="1299">
        <v>247.42</v>
      </c>
      <c r="AC177" s="1300">
        <v>251.87</v>
      </c>
      <c r="AD177" s="1300">
        <v>256.31</v>
      </c>
      <c r="AE177" s="1285">
        <v>260.76</v>
      </c>
      <c r="AF177" s="1301">
        <v>265.20999999999998</v>
      </c>
      <c r="AG177" s="1288">
        <v>269.64999999999998</v>
      </c>
      <c r="AH177" s="1288">
        <v>274.10000000000002</v>
      </c>
      <c r="AI177" s="1288">
        <v>278.55</v>
      </c>
      <c r="AJ177" s="1288">
        <v>282.99</v>
      </c>
      <c r="AK177" s="1288">
        <v>287.44</v>
      </c>
      <c r="AL177" s="1288">
        <v>291.88</v>
      </c>
      <c r="AM177" s="1289">
        <v>296.33</v>
      </c>
      <c r="AN177" s="1289">
        <v>300.77999999999997</v>
      </c>
      <c r="AO177" s="1289">
        <v>305.22000000000003</v>
      </c>
      <c r="AP177" s="1289">
        <v>309.67</v>
      </c>
      <c r="AQ177" s="1289">
        <v>229.64</v>
      </c>
      <c r="AR177" s="1289">
        <v>225.19</v>
      </c>
      <c r="AS177" s="1289">
        <v>176.85</v>
      </c>
      <c r="AT177" s="1289">
        <v>172.4</v>
      </c>
      <c r="AU177" s="1289">
        <v>167.96</v>
      </c>
    </row>
    <row r="178" spans="1:47">
      <c r="A178" s="1296">
        <v>384.69</v>
      </c>
      <c r="B178" s="1297">
        <v>391.03</v>
      </c>
      <c r="C178" s="1298">
        <v>397.36</v>
      </c>
      <c r="D178" s="1299">
        <v>403.69</v>
      </c>
      <c r="E178" s="1300">
        <v>410.03</v>
      </c>
      <c r="F178" s="1300">
        <v>416.36</v>
      </c>
      <c r="G178" s="1300">
        <v>422.7</v>
      </c>
      <c r="H178" s="1301">
        <v>429.03</v>
      </c>
      <c r="I178" s="1288">
        <v>435.36</v>
      </c>
      <c r="J178" s="1288">
        <v>441.7</v>
      </c>
      <c r="K178" s="1288">
        <v>448.03</v>
      </c>
      <c r="L178" s="1288">
        <v>454.36</v>
      </c>
      <c r="M178" s="1288">
        <v>460.7</v>
      </c>
      <c r="N178" s="1288">
        <v>467.03</v>
      </c>
      <c r="O178" s="1289">
        <v>473.36</v>
      </c>
      <c r="P178" s="1289">
        <v>479.7</v>
      </c>
      <c r="Q178" s="1289">
        <v>486.03</v>
      </c>
      <c r="R178" s="1289">
        <v>492.37</v>
      </c>
      <c r="S178" s="1289">
        <v>378.36</v>
      </c>
      <c r="T178" s="1289">
        <v>372.03</v>
      </c>
      <c r="U178" s="1289">
        <v>277.52999999999997</v>
      </c>
      <c r="V178" s="1289">
        <v>271.2</v>
      </c>
      <c r="W178" s="1289">
        <v>264.86</v>
      </c>
      <c r="X178" s="62">
        <v>174</v>
      </c>
      <c r="Y178" s="1296">
        <v>235.45</v>
      </c>
      <c r="Z178" s="1297">
        <v>239.92</v>
      </c>
      <c r="AA178" s="1298">
        <v>244.4</v>
      </c>
      <c r="AB178" s="1299">
        <v>248.87</v>
      </c>
      <c r="AC178" s="1300">
        <v>253.34</v>
      </c>
      <c r="AD178" s="1300">
        <v>257.81</v>
      </c>
      <c r="AE178" s="1285">
        <v>262.27999999999997</v>
      </c>
      <c r="AF178" s="1301">
        <v>266.76</v>
      </c>
      <c r="AG178" s="1288">
        <v>271.23</v>
      </c>
      <c r="AH178" s="1288">
        <v>275.7</v>
      </c>
      <c r="AI178" s="1288">
        <v>280.17</v>
      </c>
      <c r="AJ178" s="1288">
        <v>284.64</v>
      </c>
      <c r="AK178" s="1288">
        <v>289.11</v>
      </c>
      <c r="AL178" s="1288">
        <v>293.58999999999997</v>
      </c>
      <c r="AM178" s="1289">
        <v>298.06</v>
      </c>
      <c r="AN178" s="1289">
        <v>302.52999999999997</v>
      </c>
      <c r="AO178" s="1289">
        <v>307</v>
      </c>
      <c r="AP178" s="1289">
        <v>311.47000000000003</v>
      </c>
      <c r="AQ178" s="1289">
        <v>230.98</v>
      </c>
      <c r="AR178" s="1289">
        <v>226.51</v>
      </c>
      <c r="AS178" s="1289">
        <v>177.88</v>
      </c>
      <c r="AT178" s="1289">
        <v>173.41</v>
      </c>
      <c r="AU178" s="1289">
        <v>168.94</v>
      </c>
    </row>
    <row r="179" spans="1:47">
      <c r="A179" s="1296">
        <v>386.96</v>
      </c>
      <c r="B179" s="1297">
        <v>393.33</v>
      </c>
      <c r="C179" s="1298">
        <v>399.7</v>
      </c>
      <c r="D179" s="1299">
        <v>406.07</v>
      </c>
      <c r="E179" s="1300">
        <v>412.44</v>
      </c>
      <c r="F179" s="1300">
        <v>418.81</v>
      </c>
      <c r="G179" s="1300">
        <v>425.18</v>
      </c>
      <c r="H179" s="1301">
        <v>431.55</v>
      </c>
      <c r="I179" s="1288">
        <v>437.92</v>
      </c>
      <c r="J179" s="1288">
        <v>444.29</v>
      </c>
      <c r="K179" s="1288">
        <v>450.66</v>
      </c>
      <c r="L179" s="1288">
        <v>457.03</v>
      </c>
      <c r="M179" s="1288">
        <v>463.4</v>
      </c>
      <c r="N179" s="1288">
        <v>469.77</v>
      </c>
      <c r="O179" s="1289">
        <v>476.14</v>
      </c>
      <c r="P179" s="1289">
        <v>482.51</v>
      </c>
      <c r="Q179" s="1289">
        <v>488.88</v>
      </c>
      <c r="R179" s="1289">
        <v>495.25</v>
      </c>
      <c r="S179" s="1289">
        <v>380.59</v>
      </c>
      <c r="T179" s="1289">
        <v>374.22</v>
      </c>
      <c r="U179" s="1289">
        <v>279.16000000000003</v>
      </c>
      <c r="V179" s="1289">
        <v>272.79000000000002</v>
      </c>
      <c r="W179" s="1289">
        <v>266.42</v>
      </c>
      <c r="X179" s="62">
        <v>175</v>
      </c>
      <c r="Y179" s="1296">
        <v>236.82</v>
      </c>
      <c r="Z179" s="1297">
        <v>241.32</v>
      </c>
      <c r="AA179" s="1298">
        <v>245.82</v>
      </c>
      <c r="AB179" s="1299">
        <v>250.32</v>
      </c>
      <c r="AC179" s="1300">
        <v>254.81</v>
      </c>
      <c r="AD179" s="1300">
        <v>259.31</v>
      </c>
      <c r="AE179" s="1285">
        <v>263.81</v>
      </c>
      <c r="AF179" s="1301">
        <v>268.31</v>
      </c>
      <c r="AG179" s="1288">
        <v>272.8</v>
      </c>
      <c r="AH179" s="1288">
        <v>277.3</v>
      </c>
      <c r="AI179" s="1288">
        <v>281.8</v>
      </c>
      <c r="AJ179" s="1288">
        <v>286.3</v>
      </c>
      <c r="AK179" s="1288">
        <v>290.79000000000002</v>
      </c>
      <c r="AL179" s="1288">
        <v>295.29000000000002</v>
      </c>
      <c r="AM179" s="1289">
        <v>299.79000000000002</v>
      </c>
      <c r="AN179" s="1289">
        <v>304.29000000000002</v>
      </c>
      <c r="AO179" s="1289">
        <v>308.77999999999997</v>
      </c>
      <c r="AP179" s="1289">
        <v>313.27999999999997</v>
      </c>
      <c r="AQ179" s="1289">
        <v>232.33</v>
      </c>
      <c r="AR179" s="1289">
        <v>227.83</v>
      </c>
      <c r="AS179" s="1289">
        <v>178.91</v>
      </c>
      <c r="AT179" s="1289">
        <v>174.42</v>
      </c>
      <c r="AU179" s="1289">
        <v>169.92</v>
      </c>
    </row>
    <row r="180" spans="1:47">
      <c r="A180" s="1296">
        <v>389.24</v>
      </c>
      <c r="B180" s="1297">
        <v>395.65</v>
      </c>
      <c r="C180" s="1298">
        <v>402.5</v>
      </c>
      <c r="D180" s="1299">
        <v>408.46</v>
      </c>
      <c r="E180" s="1300">
        <v>414.86</v>
      </c>
      <c r="F180" s="1300">
        <v>421.27</v>
      </c>
      <c r="G180" s="1300">
        <v>427.68</v>
      </c>
      <c r="H180" s="1301">
        <v>434.08</v>
      </c>
      <c r="I180" s="1288">
        <v>440.49</v>
      </c>
      <c r="J180" s="1288">
        <v>446.9</v>
      </c>
      <c r="K180" s="1288">
        <v>453.3</v>
      </c>
      <c r="L180" s="1288">
        <v>459.71</v>
      </c>
      <c r="M180" s="1288">
        <v>466.12</v>
      </c>
      <c r="N180" s="1288">
        <v>472.52</v>
      </c>
      <c r="O180" s="1289">
        <v>478.93</v>
      </c>
      <c r="P180" s="1289">
        <v>485.34</v>
      </c>
      <c r="Q180" s="1289">
        <v>491.74</v>
      </c>
      <c r="R180" s="1289">
        <v>498.15</v>
      </c>
      <c r="S180" s="1289">
        <v>382.83</v>
      </c>
      <c r="T180" s="1289">
        <v>376.43</v>
      </c>
      <c r="U180" s="1289">
        <v>280.79000000000002</v>
      </c>
      <c r="V180" s="1289">
        <v>274.39</v>
      </c>
      <c r="W180" s="1289">
        <v>267.98</v>
      </c>
      <c r="X180" s="62">
        <v>176</v>
      </c>
      <c r="Y180" s="1296">
        <v>238.19</v>
      </c>
      <c r="Z180" s="1297">
        <v>242.72</v>
      </c>
      <c r="AA180" s="1298">
        <v>247.24</v>
      </c>
      <c r="AB180" s="1299">
        <v>251.76</v>
      </c>
      <c r="AC180" s="1300">
        <v>256.29000000000002</v>
      </c>
      <c r="AD180" s="1300">
        <v>260.81</v>
      </c>
      <c r="AE180" s="1285">
        <v>265.33</v>
      </c>
      <c r="AF180" s="1301">
        <v>269.86</v>
      </c>
      <c r="AG180" s="1288">
        <v>274.38</v>
      </c>
      <c r="AH180" s="1288">
        <v>278.89999999999998</v>
      </c>
      <c r="AI180" s="1288">
        <v>283.43</v>
      </c>
      <c r="AJ180" s="1288">
        <v>287.95</v>
      </c>
      <c r="AK180" s="1288">
        <v>292.47000000000003</v>
      </c>
      <c r="AL180" s="1288">
        <v>297</v>
      </c>
      <c r="AM180" s="1289">
        <v>301.52</v>
      </c>
      <c r="AN180" s="1289">
        <v>306.04000000000002</v>
      </c>
      <c r="AO180" s="1289">
        <v>310.57</v>
      </c>
      <c r="AP180" s="1289">
        <v>315.08999999999997</v>
      </c>
      <c r="AQ180" s="1289">
        <v>233.67</v>
      </c>
      <c r="AR180" s="1289">
        <v>229.15</v>
      </c>
      <c r="AS180" s="1289">
        <v>179.95</v>
      </c>
      <c r="AT180" s="1289">
        <v>175.42</v>
      </c>
      <c r="AU180" s="1289">
        <v>170.9</v>
      </c>
    </row>
    <row r="181" spans="1:47">
      <c r="A181" s="1296">
        <v>391.52</v>
      </c>
      <c r="B181" s="1297">
        <v>397.96</v>
      </c>
      <c r="C181" s="1298">
        <v>404.41</v>
      </c>
      <c r="D181" s="1299">
        <v>410.85</v>
      </c>
      <c r="E181" s="1300">
        <v>417.29</v>
      </c>
      <c r="F181" s="1300">
        <v>423.74</v>
      </c>
      <c r="G181" s="1300">
        <v>430.18</v>
      </c>
      <c r="H181" s="1301">
        <v>436.62</v>
      </c>
      <c r="I181" s="1288">
        <v>443.06</v>
      </c>
      <c r="J181" s="1288">
        <v>449.51</v>
      </c>
      <c r="K181" s="1288">
        <v>455.95</v>
      </c>
      <c r="L181" s="1288">
        <v>462.39</v>
      </c>
      <c r="M181" s="1288">
        <v>468.84800000000001</v>
      </c>
      <c r="N181" s="1288">
        <v>475.28</v>
      </c>
      <c r="O181" s="1289">
        <v>481.72</v>
      </c>
      <c r="P181" s="1289">
        <v>488.16</v>
      </c>
      <c r="Q181" s="1289">
        <v>494.61</v>
      </c>
      <c r="R181" s="1289">
        <v>501.05</v>
      </c>
      <c r="S181" s="1289">
        <v>385.08</v>
      </c>
      <c r="T181" s="1289">
        <v>378.64</v>
      </c>
      <c r="U181" s="1289">
        <v>282.43</v>
      </c>
      <c r="V181" s="1289">
        <v>275.99</v>
      </c>
      <c r="W181" s="1289">
        <v>269.54000000000002</v>
      </c>
      <c r="X181" s="62">
        <v>177</v>
      </c>
      <c r="Y181" s="1296">
        <v>239.57</v>
      </c>
      <c r="Z181" s="1297">
        <v>244.12</v>
      </c>
      <c r="AA181" s="1298">
        <v>248.67</v>
      </c>
      <c r="AB181" s="1299">
        <v>253.22</v>
      </c>
      <c r="AC181" s="1300">
        <v>257.76</v>
      </c>
      <c r="AD181" s="1300">
        <v>262.31</v>
      </c>
      <c r="AE181" s="1285">
        <v>266.86</v>
      </c>
      <c r="AF181" s="1301">
        <v>271.41000000000003</v>
      </c>
      <c r="AG181" s="1288">
        <v>275.95999999999998</v>
      </c>
      <c r="AH181" s="1288">
        <v>280.51</v>
      </c>
      <c r="AI181" s="1288">
        <v>285.06</v>
      </c>
      <c r="AJ181" s="1288">
        <v>289.61</v>
      </c>
      <c r="AK181" s="1288">
        <v>294.16000000000003</v>
      </c>
      <c r="AL181" s="1288">
        <v>298.7</v>
      </c>
      <c r="AM181" s="1289">
        <v>303.25</v>
      </c>
      <c r="AN181" s="1289">
        <v>307.8</v>
      </c>
      <c r="AO181" s="1289">
        <v>312.35000000000002</v>
      </c>
      <c r="AP181" s="1289">
        <v>316.89999999999998</v>
      </c>
      <c r="AQ181" s="1289">
        <v>235.02</v>
      </c>
      <c r="AR181" s="1289">
        <v>230.47</v>
      </c>
      <c r="AS181" s="1289">
        <v>180.98</v>
      </c>
      <c r="AT181" s="1289">
        <v>176.43</v>
      </c>
      <c r="AU181" s="1289">
        <v>171.89</v>
      </c>
    </row>
    <row r="182" spans="1:47">
      <c r="A182" s="1296">
        <v>393.28</v>
      </c>
      <c r="B182" s="1297">
        <v>399.76</v>
      </c>
      <c r="C182" s="1298">
        <v>406.24</v>
      </c>
      <c r="D182" s="1299">
        <v>412.72</v>
      </c>
      <c r="E182" s="1300">
        <v>419.2</v>
      </c>
      <c r="F182" s="1300">
        <v>425.68</v>
      </c>
      <c r="G182" s="1300">
        <v>432.16</v>
      </c>
      <c r="H182" s="1301">
        <v>438.64</v>
      </c>
      <c r="I182" s="1288">
        <v>445.12</v>
      </c>
      <c r="J182" s="1288">
        <v>451.6</v>
      </c>
      <c r="K182" s="1288">
        <v>458.08</v>
      </c>
      <c r="L182" s="1288">
        <v>464.55</v>
      </c>
      <c r="M182" s="1288">
        <v>471.03</v>
      </c>
      <c r="N182" s="1288">
        <v>477.51</v>
      </c>
      <c r="O182" s="1289">
        <v>483.99</v>
      </c>
      <c r="P182" s="1289">
        <v>490.47</v>
      </c>
      <c r="Q182" s="1289">
        <v>496.95</v>
      </c>
      <c r="R182" s="1289">
        <v>503.43</v>
      </c>
      <c r="S182" s="1289">
        <v>386.8</v>
      </c>
      <c r="T182" s="1289">
        <v>380.33</v>
      </c>
      <c r="U182" s="1289">
        <v>283.76</v>
      </c>
      <c r="V182" s="1289">
        <v>277.27999999999997</v>
      </c>
      <c r="W182" s="1289">
        <v>270.81</v>
      </c>
      <c r="X182" s="62">
        <v>178</v>
      </c>
      <c r="Y182" s="1296">
        <v>240.94</v>
      </c>
      <c r="Z182" s="1297">
        <v>245.52</v>
      </c>
      <c r="AA182" s="1298">
        <v>250.09</v>
      </c>
      <c r="AB182" s="1299">
        <v>254.67</v>
      </c>
      <c r="AC182" s="1300">
        <v>259.24</v>
      </c>
      <c r="AD182" s="1300">
        <v>263.82</v>
      </c>
      <c r="AE182" s="1285">
        <v>268.39</v>
      </c>
      <c r="AF182" s="1301">
        <v>272.97000000000003</v>
      </c>
      <c r="AG182" s="1288">
        <v>277.54000000000002</v>
      </c>
      <c r="AH182" s="1288">
        <v>282.12</v>
      </c>
      <c r="AI182" s="1288">
        <v>286.69</v>
      </c>
      <c r="AJ182" s="1288">
        <v>291.26</v>
      </c>
      <c r="AK182" s="1288">
        <v>295.83999999999997</v>
      </c>
      <c r="AL182" s="1288">
        <v>300.41000000000003</v>
      </c>
      <c r="AM182" s="1289">
        <v>304.99</v>
      </c>
      <c r="AN182" s="1289">
        <v>309.56</v>
      </c>
      <c r="AO182" s="1289">
        <v>314.14</v>
      </c>
      <c r="AP182" s="1289">
        <v>318.70999999999998</v>
      </c>
      <c r="AQ182" s="1289">
        <v>236.37</v>
      </c>
      <c r="AR182" s="1289">
        <v>231.79</v>
      </c>
      <c r="AS182" s="1289">
        <v>182.02</v>
      </c>
      <c r="AT182" s="1289">
        <v>177.44</v>
      </c>
      <c r="AU182" s="1289">
        <v>172.87</v>
      </c>
    </row>
    <row r="183" spans="1:47">
      <c r="A183" s="1296">
        <v>395.57</v>
      </c>
      <c r="B183" s="1297">
        <v>402.09</v>
      </c>
      <c r="C183" s="1298">
        <v>408.6</v>
      </c>
      <c r="D183" s="1299">
        <v>415.12</v>
      </c>
      <c r="E183" s="1300">
        <v>421.64</v>
      </c>
      <c r="F183" s="1300">
        <v>428.15</v>
      </c>
      <c r="G183" s="1300">
        <v>434.67</v>
      </c>
      <c r="H183" s="1301">
        <v>441.18</v>
      </c>
      <c r="I183" s="1288">
        <v>447.7</v>
      </c>
      <c r="J183" s="1288">
        <v>454.21</v>
      </c>
      <c r="K183" s="1288">
        <v>460.73</v>
      </c>
      <c r="L183" s="1288">
        <v>467.24</v>
      </c>
      <c r="M183" s="1288">
        <v>473.76</v>
      </c>
      <c r="N183" s="1288">
        <v>480.28</v>
      </c>
      <c r="O183" s="1289">
        <v>486.9</v>
      </c>
      <c r="P183" s="1289">
        <v>493.31</v>
      </c>
      <c r="Q183" s="1289">
        <v>499.82</v>
      </c>
      <c r="R183" s="1289">
        <v>506.34</v>
      </c>
      <c r="S183" s="1289">
        <v>389.06</v>
      </c>
      <c r="T183" s="1289">
        <v>382.54</v>
      </c>
      <c r="U183" s="1289">
        <v>285.39999999999998</v>
      </c>
      <c r="V183" s="1289">
        <v>278.89</v>
      </c>
      <c r="W183" s="1289">
        <v>272.37</v>
      </c>
      <c r="X183" s="62">
        <v>179</v>
      </c>
      <c r="Y183" s="1296">
        <v>242.18</v>
      </c>
      <c r="Z183" s="1297">
        <v>246.78</v>
      </c>
      <c r="AA183" s="1298">
        <v>251.38</v>
      </c>
      <c r="AB183" s="1299">
        <v>255.98</v>
      </c>
      <c r="AC183" s="1300">
        <v>260.58</v>
      </c>
      <c r="AD183" s="1300">
        <v>265.18</v>
      </c>
      <c r="AE183" s="1285">
        <v>269.8</v>
      </c>
      <c r="AF183" s="1301">
        <v>274.38</v>
      </c>
      <c r="AG183" s="1288">
        <v>278.98</v>
      </c>
      <c r="AH183" s="1288">
        <v>283.58</v>
      </c>
      <c r="AI183" s="1288">
        <v>288.18</v>
      </c>
      <c r="AJ183" s="1288">
        <v>292.77999999999997</v>
      </c>
      <c r="AK183" s="1288">
        <v>297.38</v>
      </c>
      <c r="AL183" s="1288">
        <v>301.98</v>
      </c>
      <c r="AM183" s="1289">
        <v>306.58</v>
      </c>
      <c r="AN183" s="1289">
        <v>311.18</v>
      </c>
      <c r="AO183" s="1289">
        <v>315.77999999999997</v>
      </c>
      <c r="AP183" s="1289">
        <v>320.39</v>
      </c>
      <c r="AQ183" s="1289">
        <v>237.58</v>
      </c>
      <c r="AR183" s="1289">
        <v>232.98</v>
      </c>
      <c r="AS183" s="1289">
        <v>182.97</v>
      </c>
      <c r="AT183" s="1289">
        <v>178.37</v>
      </c>
      <c r="AU183" s="1289">
        <v>173.77</v>
      </c>
    </row>
    <row r="184" spans="1:47">
      <c r="A184" s="1296">
        <v>397.87</v>
      </c>
      <c r="B184" s="1297">
        <v>404.42</v>
      </c>
      <c r="C184" s="1298">
        <v>410.97</v>
      </c>
      <c r="D184" s="1299">
        <v>417.53</v>
      </c>
      <c r="E184" s="1300">
        <v>424.08</v>
      </c>
      <c r="F184" s="1300">
        <v>430.63</v>
      </c>
      <c r="G184" s="1300">
        <v>437.18</v>
      </c>
      <c r="H184" s="1301">
        <v>443.73</v>
      </c>
      <c r="I184" s="1288">
        <v>450.29</v>
      </c>
      <c r="J184" s="1288">
        <v>456.84</v>
      </c>
      <c r="K184" s="1288">
        <v>463.39</v>
      </c>
      <c r="L184" s="1288">
        <v>469.94</v>
      </c>
      <c r="M184" s="1288">
        <v>476.49</v>
      </c>
      <c r="N184" s="1288">
        <v>483.05</v>
      </c>
      <c r="O184" s="1289">
        <v>489.6</v>
      </c>
      <c r="P184" s="1289">
        <v>496.15</v>
      </c>
      <c r="Q184" s="1289">
        <v>502.7</v>
      </c>
      <c r="R184" s="1289">
        <v>509.25</v>
      </c>
      <c r="S184" s="1289">
        <v>391.32</v>
      </c>
      <c r="T184" s="1289">
        <v>384.77</v>
      </c>
      <c r="U184" s="1289">
        <v>287.05</v>
      </c>
      <c r="V184" s="1289">
        <v>280.5</v>
      </c>
      <c r="W184" s="1289">
        <v>273.95</v>
      </c>
      <c r="X184" s="62">
        <v>180</v>
      </c>
      <c r="Y184" s="1296">
        <v>243.56</v>
      </c>
      <c r="Z184" s="1297">
        <v>248.18</v>
      </c>
      <c r="AA184" s="1298">
        <v>252.81</v>
      </c>
      <c r="AB184" s="1299">
        <v>257.44</v>
      </c>
      <c r="AC184" s="1300">
        <v>262.06</v>
      </c>
      <c r="AD184" s="1300">
        <v>266.69</v>
      </c>
      <c r="AE184" s="1285">
        <v>271.31</v>
      </c>
      <c r="AF184" s="1301">
        <v>275.94</v>
      </c>
      <c r="AG184" s="1288">
        <v>280.57</v>
      </c>
      <c r="AH184" s="1288">
        <v>285.19</v>
      </c>
      <c r="AI184" s="1288">
        <v>289.82</v>
      </c>
      <c r="AJ184" s="1288">
        <v>294.44</v>
      </c>
      <c r="AK184" s="1288">
        <v>299.07</v>
      </c>
      <c r="AL184" s="1288">
        <v>303.7</v>
      </c>
      <c r="AM184" s="1289">
        <v>308.32</v>
      </c>
      <c r="AN184" s="1289">
        <v>312.95</v>
      </c>
      <c r="AO184" s="1289">
        <v>317.57</v>
      </c>
      <c r="AP184" s="1289">
        <v>322.2</v>
      </c>
      <c r="AQ184" s="1289">
        <v>238.93</v>
      </c>
      <c r="AR184" s="1289">
        <v>234.31</v>
      </c>
      <c r="AS184" s="1289">
        <v>184.01</v>
      </c>
      <c r="AT184" s="1289">
        <v>179.38</v>
      </c>
      <c r="AU184" s="1289">
        <v>174.75</v>
      </c>
    </row>
    <row r="185" spans="1:47">
      <c r="A185" s="1296">
        <v>400.17</v>
      </c>
      <c r="B185" s="1297">
        <v>406.76</v>
      </c>
      <c r="C185" s="1298">
        <v>413.35</v>
      </c>
      <c r="D185" s="1299">
        <v>419.94</v>
      </c>
      <c r="E185" s="1300">
        <v>426.53</v>
      </c>
      <c r="F185" s="1300">
        <v>433.12</v>
      </c>
      <c r="G185" s="1300">
        <v>439.7</v>
      </c>
      <c r="H185" s="1301">
        <v>446.29</v>
      </c>
      <c r="I185" s="1288">
        <v>452.88</v>
      </c>
      <c r="J185" s="1288">
        <v>459.47</v>
      </c>
      <c r="K185" s="1288">
        <v>466.06</v>
      </c>
      <c r="L185" s="1288">
        <v>472.65</v>
      </c>
      <c r="M185" s="1288">
        <v>479.23</v>
      </c>
      <c r="N185" s="1288">
        <v>485.82</v>
      </c>
      <c r="O185" s="1289">
        <v>492.41</v>
      </c>
      <c r="P185" s="1289">
        <v>499</v>
      </c>
      <c r="Q185" s="1289">
        <v>505.59</v>
      </c>
      <c r="R185" s="1289">
        <v>512.17999999999995</v>
      </c>
      <c r="S185" s="1289">
        <v>393.58</v>
      </c>
      <c r="T185" s="1289">
        <v>387</v>
      </c>
      <c r="U185" s="1289">
        <v>288.7</v>
      </c>
      <c r="V185" s="1289">
        <v>282.11</v>
      </c>
      <c r="W185" s="1289">
        <v>275.52</v>
      </c>
      <c r="X185" s="62">
        <v>181</v>
      </c>
      <c r="Y185" s="1296">
        <v>244.94</v>
      </c>
      <c r="Z185" s="1297">
        <v>249.59</v>
      </c>
      <c r="AA185" s="1298">
        <v>254.24</v>
      </c>
      <c r="AB185" s="1299">
        <v>258.89</v>
      </c>
      <c r="AC185" s="1300">
        <v>263.54000000000002</v>
      </c>
      <c r="AD185" s="1300">
        <v>268.2</v>
      </c>
      <c r="AE185" s="1285">
        <v>272.85000000000002</v>
      </c>
      <c r="AF185" s="1301">
        <v>277.5</v>
      </c>
      <c r="AG185" s="1288">
        <v>282.14999999999998</v>
      </c>
      <c r="AH185" s="1288">
        <v>286.8</v>
      </c>
      <c r="AI185" s="1288">
        <v>291.45</v>
      </c>
      <c r="AJ185" s="1288">
        <v>296.11</v>
      </c>
      <c r="AK185" s="1288">
        <v>300.76</v>
      </c>
      <c r="AL185" s="1288">
        <v>305.41000000000003</v>
      </c>
      <c r="AM185" s="1289">
        <v>310.06</v>
      </c>
      <c r="AN185" s="1289">
        <v>314.70999999999998</v>
      </c>
      <c r="AO185" s="1289">
        <v>319.36</v>
      </c>
      <c r="AP185" s="1289">
        <v>324.02</v>
      </c>
      <c r="AQ185" s="1289">
        <v>240.29</v>
      </c>
      <c r="AR185" s="1289">
        <v>235.63</v>
      </c>
      <c r="AS185" s="1289">
        <v>185.04</v>
      </c>
      <c r="AT185" s="1289">
        <v>180.39</v>
      </c>
      <c r="AU185" s="1289">
        <v>175.74</v>
      </c>
    </row>
    <row r="186" spans="1:47">
      <c r="A186" s="1296">
        <v>402.48</v>
      </c>
      <c r="B186" s="1297">
        <v>409.11</v>
      </c>
      <c r="C186" s="1298">
        <v>415.73</v>
      </c>
      <c r="D186" s="1299">
        <v>422.36</v>
      </c>
      <c r="E186" s="1300">
        <v>428.98</v>
      </c>
      <c r="F186" s="1300">
        <v>435.61</v>
      </c>
      <c r="G186" s="1300">
        <v>442.23</v>
      </c>
      <c r="H186" s="1301">
        <v>448.86</v>
      </c>
      <c r="I186" s="1288">
        <v>455.48</v>
      </c>
      <c r="J186" s="1288">
        <v>462.11</v>
      </c>
      <c r="K186" s="1288">
        <v>468.73</v>
      </c>
      <c r="L186" s="1288">
        <v>475.36</v>
      </c>
      <c r="M186" s="1288">
        <v>481.98</v>
      </c>
      <c r="N186" s="1288">
        <v>488.61</v>
      </c>
      <c r="O186" s="1289">
        <v>495.23</v>
      </c>
      <c r="P186" s="1289">
        <v>501.86</v>
      </c>
      <c r="Q186" s="1289">
        <v>508.48</v>
      </c>
      <c r="R186" s="1289">
        <v>515.11</v>
      </c>
      <c r="S186" s="1289">
        <v>395.86</v>
      </c>
      <c r="T186" s="1289">
        <v>389.23</v>
      </c>
      <c r="U186" s="1289">
        <v>290.35000000000002</v>
      </c>
      <c r="V186" s="1289">
        <v>283.73</v>
      </c>
      <c r="W186" s="1289">
        <v>277.10000000000002</v>
      </c>
      <c r="X186" s="62">
        <v>182</v>
      </c>
      <c r="Y186" s="1296">
        <v>246.32</v>
      </c>
      <c r="Z186" s="1297">
        <v>251</v>
      </c>
      <c r="AA186" s="1298">
        <v>255.67</v>
      </c>
      <c r="AB186" s="1299">
        <v>260.35000000000002</v>
      </c>
      <c r="AC186" s="1300">
        <v>265.02999999999997</v>
      </c>
      <c r="AD186" s="1300">
        <v>269.70999999999998</v>
      </c>
      <c r="AE186" s="1285">
        <v>274.38</v>
      </c>
      <c r="AF186" s="1301">
        <v>279.06</v>
      </c>
      <c r="AG186" s="1288">
        <v>283.74</v>
      </c>
      <c r="AH186" s="1288">
        <v>288.41000000000003</v>
      </c>
      <c r="AI186" s="1288">
        <v>293.08999999999997</v>
      </c>
      <c r="AJ186" s="1288">
        <v>297.77</v>
      </c>
      <c r="AK186" s="1288">
        <v>302.45</v>
      </c>
      <c r="AL186" s="1288">
        <v>307.12</v>
      </c>
      <c r="AM186" s="1289">
        <v>311.8</v>
      </c>
      <c r="AN186" s="1289">
        <v>316.48</v>
      </c>
      <c r="AO186" s="1289">
        <v>321.16000000000003</v>
      </c>
      <c r="AP186" s="1289">
        <v>325.83</v>
      </c>
      <c r="AQ186" s="1289">
        <v>241.64</v>
      </c>
      <c r="AR186" s="1289">
        <v>236.96</v>
      </c>
      <c r="AS186" s="1289">
        <v>186.08</v>
      </c>
      <c r="AT186" s="1289">
        <v>181.41</v>
      </c>
      <c r="AU186" s="1289">
        <v>176.73</v>
      </c>
    </row>
    <row r="187" spans="1:47">
      <c r="A187" s="1296">
        <v>404.8</v>
      </c>
      <c r="B187" s="1297">
        <v>411.46</v>
      </c>
      <c r="C187" s="1298">
        <v>418.13</v>
      </c>
      <c r="D187" s="1299">
        <v>424.79</v>
      </c>
      <c r="E187" s="1300">
        <v>431.45</v>
      </c>
      <c r="F187" s="1300">
        <v>438.11</v>
      </c>
      <c r="G187" s="1300">
        <v>444.77</v>
      </c>
      <c r="H187" s="1301">
        <v>451.43</v>
      </c>
      <c r="I187" s="1288">
        <v>458.09</v>
      </c>
      <c r="J187" s="1288">
        <v>464.75</v>
      </c>
      <c r="K187" s="1288">
        <v>471.41</v>
      </c>
      <c r="L187" s="1288">
        <v>478.08</v>
      </c>
      <c r="M187" s="1288">
        <v>484.74</v>
      </c>
      <c r="N187" s="1288">
        <v>491.4</v>
      </c>
      <c r="O187" s="1289">
        <v>498.06</v>
      </c>
      <c r="P187" s="1289">
        <v>504.72</v>
      </c>
      <c r="Q187" s="1289">
        <v>511.38</v>
      </c>
      <c r="R187" s="1289">
        <v>518.04</v>
      </c>
      <c r="S187" s="1289">
        <v>398.14</v>
      </c>
      <c r="T187" s="1289">
        <v>391.48</v>
      </c>
      <c r="U187" s="1289">
        <v>292.01</v>
      </c>
      <c r="V187" s="1289">
        <v>285.35000000000002</v>
      </c>
      <c r="W187" s="1289">
        <v>278.69</v>
      </c>
      <c r="X187" s="62">
        <v>183</v>
      </c>
      <c r="Y187" s="1296">
        <v>247.7</v>
      </c>
      <c r="Z187" s="1297">
        <v>252.4</v>
      </c>
      <c r="AA187" s="1298">
        <v>257.11</v>
      </c>
      <c r="AB187" s="1299">
        <v>261.81</v>
      </c>
      <c r="AC187" s="1300">
        <v>266.51</v>
      </c>
      <c r="AD187" s="1300">
        <v>271.22000000000003</v>
      </c>
      <c r="AE187" s="1285">
        <v>275.92</v>
      </c>
      <c r="AF187" s="1301">
        <v>280.62</v>
      </c>
      <c r="AG187" s="1288">
        <v>285.33</v>
      </c>
      <c r="AH187" s="1288">
        <v>290.02999999999997</v>
      </c>
      <c r="AI187" s="1288">
        <v>294.73</v>
      </c>
      <c r="AJ187" s="1288">
        <v>299.44</v>
      </c>
      <c r="AK187" s="1288">
        <v>304.14</v>
      </c>
      <c r="AL187" s="1288">
        <v>308.83999999999997</v>
      </c>
      <c r="AM187" s="1289">
        <v>313.54000000000002</v>
      </c>
      <c r="AN187" s="1289">
        <v>318.25</v>
      </c>
      <c r="AO187" s="1289">
        <v>322.95</v>
      </c>
      <c r="AP187" s="1289">
        <v>327.64999999999998</v>
      </c>
      <c r="AQ187" s="1289">
        <v>243</v>
      </c>
      <c r="AR187" s="1289">
        <v>238.3</v>
      </c>
      <c r="AS187" s="1289">
        <v>187.13</v>
      </c>
      <c r="AT187" s="1289">
        <v>182.42</v>
      </c>
      <c r="AU187" s="1289">
        <v>177.72</v>
      </c>
    </row>
    <row r="188" spans="1:47">
      <c r="A188" s="1296">
        <v>406.56</v>
      </c>
      <c r="B188" s="1297">
        <v>413.26</v>
      </c>
      <c r="C188" s="1298">
        <v>419.96</v>
      </c>
      <c r="D188" s="1299">
        <v>426.66</v>
      </c>
      <c r="E188" s="1300">
        <v>433.36</v>
      </c>
      <c r="F188" s="1300">
        <v>440.05</v>
      </c>
      <c r="G188" s="1300">
        <v>446.75</v>
      </c>
      <c r="H188" s="1301">
        <v>453.45</v>
      </c>
      <c r="I188" s="1288">
        <v>460.15</v>
      </c>
      <c r="J188" s="1288">
        <v>466.84</v>
      </c>
      <c r="K188" s="1288">
        <v>473.54</v>
      </c>
      <c r="L188" s="1288">
        <v>480.24</v>
      </c>
      <c r="M188" s="1288">
        <v>486.94</v>
      </c>
      <c r="N188" s="1288">
        <v>493.63</v>
      </c>
      <c r="O188" s="1289">
        <v>500.33</v>
      </c>
      <c r="P188" s="1289">
        <v>507.03</v>
      </c>
      <c r="Q188" s="1289">
        <v>513.73</v>
      </c>
      <c r="R188" s="1289">
        <v>520.41999999999996</v>
      </c>
      <c r="S188" s="1289">
        <v>399.87</v>
      </c>
      <c r="T188" s="1289">
        <v>393.17</v>
      </c>
      <c r="U188" s="1289">
        <v>293.33999999999997</v>
      </c>
      <c r="V188" s="1289">
        <v>286.64999999999998</v>
      </c>
      <c r="W188" s="1289">
        <v>279.95</v>
      </c>
      <c r="X188" s="62">
        <v>184</v>
      </c>
      <c r="Y188" s="1296">
        <v>248.94</v>
      </c>
      <c r="Z188" s="1297">
        <v>253.67</v>
      </c>
      <c r="AA188" s="1298">
        <v>258.39999999999998</v>
      </c>
      <c r="AB188" s="1299">
        <v>263.12</v>
      </c>
      <c r="AC188" s="1300">
        <v>267.85000000000002</v>
      </c>
      <c r="AD188" s="1300">
        <v>272.58</v>
      </c>
      <c r="AE188" s="1285">
        <v>277.31</v>
      </c>
      <c r="AF188" s="1301">
        <v>282.04000000000002</v>
      </c>
      <c r="AG188" s="1288">
        <v>286.77</v>
      </c>
      <c r="AH188" s="1288">
        <v>291.5</v>
      </c>
      <c r="AI188" s="1288">
        <v>296.23</v>
      </c>
      <c r="AJ188" s="1288">
        <v>300.95</v>
      </c>
      <c r="AK188" s="1288">
        <v>305.68</v>
      </c>
      <c r="AL188" s="1288">
        <v>310.41000000000003</v>
      </c>
      <c r="AM188" s="1289">
        <v>315.14</v>
      </c>
      <c r="AN188" s="1289">
        <v>319.87</v>
      </c>
      <c r="AO188" s="1289">
        <v>324.60000000000002</v>
      </c>
      <c r="AP188" s="1289">
        <v>329.33</v>
      </c>
      <c r="AQ188" s="1289">
        <v>244.21</v>
      </c>
      <c r="AR188" s="1289">
        <v>239.48</v>
      </c>
      <c r="AS188" s="1289">
        <v>188.07</v>
      </c>
      <c r="AT188" s="1289">
        <v>183.35</v>
      </c>
      <c r="AU188" s="1289">
        <v>178.62</v>
      </c>
    </row>
    <row r="189" spans="1:47">
      <c r="A189" s="1296">
        <v>408.89</v>
      </c>
      <c r="B189" s="1297">
        <v>415.62</v>
      </c>
      <c r="C189" s="1298">
        <v>422.3</v>
      </c>
      <c r="D189" s="1299">
        <v>429.09</v>
      </c>
      <c r="E189" s="1300">
        <v>435.83</v>
      </c>
      <c r="F189" s="1300">
        <v>442.56</v>
      </c>
      <c r="G189" s="1300">
        <v>449.29</v>
      </c>
      <c r="H189" s="1301">
        <v>456.03</v>
      </c>
      <c r="I189" s="1288">
        <v>462.76</v>
      </c>
      <c r="J189" s="1288">
        <v>469.5</v>
      </c>
      <c r="K189" s="1288">
        <v>476.23</v>
      </c>
      <c r="L189" s="1288">
        <v>482.96</v>
      </c>
      <c r="M189" s="1288">
        <v>489.7</v>
      </c>
      <c r="N189" s="1288">
        <v>496.43</v>
      </c>
      <c r="O189" s="1289">
        <v>503.17</v>
      </c>
      <c r="P189" s="1289">
        <v>509.9</v>
      </c>
      <c r="Q189" s="1289">
        <v>516.63</v>
      </c>
      <c r="R189" s="1289">
        <v>523.37</v>
      </c>
      <c r="S189" s="1289">
        <v>402.16</v>
      </c>
      <c r="T189" s="1289">
        <v>395.42</v>
      </c>
      <c r="U189" s="1289">
        <v>295.01</v>
      </c>
      <c r="V189" s="1289">
        <v>288.27</v>
      </c>
      <c r="W189" s="1289">
        <v>281.54000000000002</v>
      </c>
      <c r="X189" s="62">
        <v>185</v>
      </c>
      <c r="Y189" s="1296">
        <v>250.32</v>
      </c>
      <c r="Z189" s="1297">
        <v>255.08</v>
      </c>
      <c r="AA189" s="1298">
        <v>259.83</v>
      </c>
      <c r="AB189" s="1299">
        <v>264.58999999999997</v>
      </c>
      <c r="AC189" s="1300">
        <v>269.33999999999997</v>
      </c>
      <c r="AD189" s="1300">
        <v>274.10000000000002</v>
      </c>
      <c r="AE189" s="1285">
        <v>278.85000000000002</v>
      </c>
      <c r="AF189" s="1301">
        <v>283.60000000000002</v>
      </c>
      <c r="AG189" s="1288">
        <v>288.36</v>
      </c>
      <c r="AH189" s="1288">
        <v>293.11</v>
      </c>
      <c r="AI189" s="1288">
        <v>297.87</v>
      </c>
      <c r="AJ189" s="1288">
        <v>302.62</v>
      </c>
      <c r="AK189" s="1288">
        <v>307.38</v>
      </c>
      <c r="AL189" s="1288">
        <v>312.13</v>
      </c>
      <c r="AM189" s="1289">
        <v>316.89</v>
      </c>
      <c r="AN189" s="1289">
        <v>321.64</v>
      </c>
      <c r="AO189" s="1289">
        <v>326.39999999999998</v>
      </c>
      <c r="AP189" s="1289">
        <v>331.15</v>
      </c>
      <c r="AQ189" s="1289">
        <v>245.57</v>
      </c>
      <c r="AR189" s="1289">
        <v>240.81</v>
      </c>
      <c r="AS189" s="1289">
        <v>189.12</v>
      </c>
      <c r="AT189" s="1289">
        <v>184.36</v>
      </c>
      <c r="AU189" s="1289">
        <v>179.61</v>
      </c>
    </row>
    <row r="190" spans="1:47">
      <c r="A190" s="1296">
        <v>411.22</v>
      </c>
      <c r="B190" s="1297">
        <v>418</v>
      </c>
      <c r="C190" s="1298">
        <v>424.77</v>
      </c>
      <c r="D190" s="1299">
        <v>431.54</v>
      </c>
      <c r="E190" s="1300">
        <v>438.31</v>
      </c>
      <c r="F190" s="1300">
        <v>445.08</v>
      </c>
      <c r="G190" s="1300">
        <v>451.85</v>
      </c>
      <c r="H190" s="1301">
        <v>458.62</v>
      </c>
      <c r="I190" s="1288">
        <v>465.39</v>
      </c>
      <c r="J190" s="1288">
        <v>472.16</v>
      </c>
      <c r="K190" s="1288">
        <v>478.93</v>
      </c>
      <c r="L190" s="1288">
        <v>485.7</v>
      </c>
      <c r="M190" s="1288">
        <v>492.47</v>
      </c>
      <c r="N190" s="1288">
        <v>499.24</v>
      </c>
      <c r="O190" s="1289">
        <v>506.01</v>
      </c>
      <c r="P190" s="1289">
        <v>512.78</v>
      </c>
      <c r="Q190" s="1289">
        <v>519.54999999999995</v>
      </c>
      <c r="R190" s="1289">
        <v>526.32000000000005</v>
      </c>
      <c r="S190" s="1289">
        <v>404.45</v>
      </c>
      <c r="T190" s="1289">
        <v>397.68</v>
      </c>
      <c r="U190" s="1289">
        <v>296.67</v>
      </c>
      <c r="V190" s="1289">
        <v>289.89999999999998</v>
      </c>
      <c r="W190" s="1289">
        <v>283.13</v>
      </c>
      <c r="X190" s="62">
        <v>186</v>
      </c>
      <c r="Y190" s="1296">
        <v>251.71</v>
      </c>
      <c r="Z190" s="1297">
        <v>256.49</v>
      </c>
      <c r="AA190" s="1298">
        <v>261.27</v>
      </c>
      <c r="AB190" s="1299">
        <v>266.05</v>
      </c>
      <c r="AC190" s="1300">
        <v>270.83</v>
      </c>
      <c r="AD190" s="1300">
        <v>275.61</v>
      </c>
      <c r="AE190" s="1285">
        <v>280.39</v>
      </c>
      <c r="AF190" s="1301">
        <v>285.17</v>
      </c>
      <c r="AG190" s="1288">
        <v>289.95</v>
      </c>
      <c r="AH190" s="1288">
        <v>294.73</v>
      </c>
      <c r="AI190" s="1288">
        <v>299.51</v>
      </c>
      <c r="AJ190" s="1288">
        <v>304.29000000000002</v>
      </c>
      <c r="AK190" s="1288">
        <v>309.07</v>
      </c>
      <c r="AL190" s="1288">
        <v>313.85000000000002</v>
      </c>
      <c r="AM190" s="1289">
        <v>318.63</v>
      </c>
      <c r="AN190" s="1289">
        <v>323.41000000000003</v>
      </c>
      <c r="AO190" s="1289">
        <v>328.19</v>
      </c>
      <c r="AP190" s="1289">
        <v>332.97</v>
      </c>
      <c r="AQ190" s="1289">
        <v>246.93</v>
      </c>
      <c r="AR190" s="1289">
        <v>242.15</v>
      </c>
      <c r="AS190" s="1289">
        <v>190.16</v>
      </c>
      <c r="AT190" s="1289">
        <v>185.38</v>
      </c>
      <c r="AU190" s="1289">
        <v>180.6</v>
      </c>
    </row>
    <row r="191" spans="1:47">
      <c r="A191" s="1296">
        <v>413.57</v>
      </c>
      <c r="B191" s="1297">
        <v>420.37</v>
      </c>
      <c r="C191" s="1298">
        <v>427.18</v>
      </c>
      <c r="D191" s="1299">
        <v>433.99</v>
      </c>
      <c r="E191" s="1300">
        <v>440.79</v>
      </c>
      <c r="F191" s="1300">
        <v>447.6</v>
      </c>
      <c r="G191" s="1300">
        <v>454.41</v>
      </c>
      <c r="H191" s="1301">
        <v>461.21</v>
      </c>
      <c r="I191" s="1288">
        <v>468.02</v>
      </c>
      <c r="J191" s="1288">
        <v>474.83</v>
      </c>
      <c r="K191" s="1288">
        <v>481.63</v>
      </c>
      <c r="L191" s="1288">
        <v>488.44</v>
      </c>
      <c r="M191" s="1288">
        <v>495.25</v>
      </c>
      <c r="N191" s="1288">
        <v>502.05</v>
      </c>
      <c r="O191" s="1289">
        <v>508.86</v>
      </c>
      <c r="P191" s="1289">
        <v>515.66999999999996</v>
      </c>
      <c r="Q191" s="1289">
        <v>522.48</v>
      </c>
      <c r="R191" s="1289">
        <v>529.28</v>
      </c>
      <c r="S191" s="1289">
        <v>406.76</v>
      </c>
      <c r="T191" s="1289">
        <v>399.95</v>
      </c>
      <c r="U191" s="1289">
        <v>298.33999999999997</v>
      </c>
      <c r="V191" s="1289">
        <v>291.54000000000002</v>
      </c>
      <c r="W191" s="1289">
        <v>284.73</v>
      </c>
      <c r="X191" s="62">
        <v>187</v>
      </c>
      <c r="Y191" s="1296">
        <v>253.1</v>
      </c>
      <c r="Z191" s="1297">
        <v>257.91000000000003</v>
      </c>
      <c r="AA191" s="1298">
        <v>262.70999999999998</v>
      </c>
      <c r="AB191" s="1299">
        <v>267.52</v>
      </c>
      <c r="AC191" s="1300">
        <v>272.32</v>
      </c>
      <c r="AD191" s="1300">
        <v>277.13</v>
      </c>
      <c r="AE191" s="1285">
        <v>281.69400000000002</v>
      </c>
      <c r="AF191" s="1301">
        <v>286.74</v>
      </c>
      <c r="AG191" s="1288">
        <v>291.55</v>
      </c>
      <c r="AH191" s="1288">
        <v>296.35000000000002</v>
      </c>
      <c r="AI191" s="1288">
        <v>301.16000000000003</v>
      </c>
      <c r="AJ191" s="1288">
        <v>305.95999999999998</v>
      </c>
      <c r="AK191" s="1288">
        <v>310.77</v>
      </c>
      <c r="AL191" s="1288">
        <v>315.58</v>
      </c>
      <c r="AM191" s="1289">
        <v>320.38</v>
      </c>
      <c r="AN191" s="1289">
        <v>325.19</v>
      </c>
      <c r="AO191" s="1289">
        <v>329.99</v>
      </c>
      <c r="AP191" s="1289">
        <v>334.8</v>
      </c>
      <c r="AQ191" s="1289">
        <v>248.29</v>
      </c>
      <c r="AR191" s="1289">
        <v>243.49</v>
      </c>
      <c r="AS191" s="1289">
        <v>191.21</v>
      </c>
      <c r="AT191" s="1289">
        <v>186.4</v>
      </c>
      <c r="AU191" s="1289">
        <v>181.59</v>
      </c>
    </row>
    <row r="192" spans="1:47">
      <c r="A192" s="1296">
        <v>415.33</v>
      </c>
      <c r="B192" s="1297">
        <v>422.17</v>
      </c>
      <c r="C192" s="1298">
        <v>429.01</v>
      </c>
      <c r="D192" s="1299">
        <v>435.86</v>
      </c>
      <c r="E192" s="1300">
        <v>442.7</v>
      </c>
      <c r="F192" s="1300">
        <v>449.54</v>
      </c>
      <c r="G192" s="1300">
        <v>456.39</v>
      </c>
      <c r="H192" s="1301">
        <v>463.23</v>
      </c>
      <c r="I192" s="1288">
        <v>470.07</v>
      </c>
      <c r="J192" s="1288">
        <v>476.92</v>
      </c>
      <c r="K192" s="1288">
        <v>483.76</v>
      </c>
      <c r="L192" s="1288">
        <v>490.6</v>
      </c>
      <c r="M192" s="1288">
        <v>497.45</v>
      </c>
      <c r="N192" s="1288">
        <v>504.29</v>
      </c>
      <c r="O192" s="1289">
        <v>511.13</v>
      </c>
      <c r="P192" s="1289">
        <v>517.98</v>
      </c>
      <c r="Q192" s="1289">
        <v>524.82000000000005</v>
      </c>
      <c r="R192" s="1289">
        <v>531.66</v>
      </c>
      <c r="S192" s="1289">
        <v>408.49</v>
      </c>
      <c r="T192" s="1289">
        <v>401.64</v>
      </c>
      <c r="U192" s="1289">
        <v>299.68</v>
      </c>
      <c r="V192" s="1289">
        <v>292.83</v>
      </c>
      <c r="W192" s="1289">
        <v>285.99</v>
      </c>
      <c r="X192" s="62">
        <v>188</v>
      </c>
      <c r="Y192" s="1296">
        <v>254.34</v>
      </c>
      <c r="Z192" s="1297">
        <v>259.17</v>
      </c>
      <c r="AA192" s="1298">
        <v>264</v>
      </c>
      <c r="AB192" s="1299">
        <v>268.63</v>
      </c>
      <c r="AC192" s="1300">
        <v>273.66000000000003</v>
      </c>
      <c r="AD192" s="1300">
        <v>278.49</v>
      </c>
      <c r="AE192" s="1285">
        <v>283.33</v>
      </c>
      <c r="AF192" s="1301">
        <v>288.16000000000003</v>
      </c>
      <c r="AG192" s="1288">
        <v>292.99</v>
      </c>
      <c r="AH192" s="1288">
        <v>297.82</v>
      </c>
      <c r="AI192" s="1288">
        <v>302.64999999999998</v>
      </c>
      <c r="AJ192" s="1288">
        <v>307.48</v>
      </c>
      <c r="AK192" s="1288">
        <v>312.32</v>
      </c>
      <c r="AL192" s="1288">
        <v>317.14999999999998</v>
      </c>
      <c r="AM192" s="1289">
        <v>321.98</v>
      </c>
      <c r="AN192" s="1289">
        <v>326.81</v>
      </c>
      <c r="AO192" s="1289">
        <v>331.64</v>
      </c>
      <c r="AP192" s="1289">
        <v>336.47</v>
      </c>
      <c r="AQ192" s="1289">
        <v>249.5</v>
      </c>
      <c r="AR192" s="1289">
        <v>244.67</v>
      </c>
      <c r="AS192" s="1289">
        <v>192.16</v>
      </c>
      <c r="AT192" s="1289">
        <v>187.32</v>
      </c>
      <c r="AU192" s="1289">
        <v>182.49</v>
      </c>
    </row>
    <row r="193" spans="1:47">
      <c r="A193" s="1296">
        <v>417.68</v>
      </c>
      <c r="B193" s="1297">
        <v>424.56</v>
      </c>
      <c r="C193" s="1298">
        <v>431.44</v>
      </c>
      <c r="D193" s="1299">
        <v>438.32</v>
      </c>
      <c r="E193" s="1300">
        <v>445.2</v>
      </c>
      <c r="F193" s="1300">
        <v>452.08</v>
      </c>
      <c r="G193" s="1300">
        <v>458.96</v>
      </c>
      <c r="H193" s="1301">
        <v>465.84</v>
      </c>
      <c r="I193" s="1288">
        <v>472.72</v>
      </c>
      <c r="J193" s="1288">
        <v>479.59</v>
      </c>
      <c r="K193" s="1288">
        <v>486.47</v>
      </c>
      <c r="L193" s="1288">
        <v>493.35</v>
      </c>
      <c r="M193" s="1288">
        <v>500.23</v>
      </c>
      <c r="N193" s="1288">
        <v>507.11</v>
      </c>
      <c r="O193" s="1289">
        <v>513.99</v>
      </c>
      <c r="P193" s="1289">
        <v>520.87</v>
      </c>
      <c r="Q193" s="1289">
        <v>527.75</v>
      </c>
      <c r="R193" s="1289">
        <v>534.63</v>
      </c>
      <c r="S193" s="1289">
        <v>410.8</v>
      </c>
      <c r="T193" s="1289">
        <v>403.92</v>
      </c>
      <c r="U193" s="1289">
        <v>301.35000000000002</v>
      </c>
      <c r="V193" s="1289">
        <v>294.47000000000003</v>
      </c>
      <c r="W193" s="1289">
        <v>287.58999999999997</v>
      </c>
      <c r="X193" s="62">
        <v>189</v>
      </c>
      <c r="Y193" s="1296">
        <v>255.73</v>
      </c>
      <c r="Z193" s="1297">
        <v>260.58999999999997</v>
      </c>
      <c r="AA193" s="1298">
        <v>265.44</v>
      </c>
      <c r="AB193" s="1299">
        <v>270.3</v>
      </c>
      <c r="AC193" s="1300">
        <v>275.16000000000003</v>
      </c>
      <c r="AD193" s="1300">
        <v>280.01</v>
      </c>
      <c r="AE193" s="1285">
        <v>284.87</v>
      </c>
      <c r="AF193" s="1301">
        <v>289.73</v>
      </c>
      <c r="AG193" s="1288">
        <v>294.58999999999997</v>
      </c>
      <c r="AH193" s="1288">
        <v>299.44</v>
      </c>
      <c r="AI193" s="1288">
        <v>304.3</v>
      </c>
      <c r="AJ193" s="1288">
        <v>309.16000000000003</v>
      </c>
      <c r="AK193" s="1288">
        <v>314.02</v>
      </c>
      <c r="AL193" s="1288">
        <v>318.87</v>
      </c>
      <c r="AM193" s="1289">
        <v>323.73</v>
      </c>
      <c r="AN193" s="1289">
        <v>328.59</v>
      </c>
      <c r="AO193" s="1289">
        <v>333.44</v>
      </c>
      <c r="AP193" s="1289">
        <v>338.3</v>
      </c>
      <c r="AQ193" s="1289">
        <v>250.87</v>
      </c>
      <c r="AR193" s="1289">
        <v>246.01</v>
      </c>
      <c r="AS193" s="1289">
        <v>193.2</v>
      </c>
      <c r="AT193" s="1289">
        <v>188.34</v>
      </c>
      <c r="AU193" s="1289">
        <v>183.49</v>
      </c>
    </row>
    <row r="194" spans="1:47">
      <c r="A194" s="1296">
        <v>420.04</v>
      </c>
      <c r="B194" s="1297">
        <v>426.95</v>
      </c>
      <c r="C194" s="1298">
        <v>433.87</v>
      </c>
      <c r="D194" s="1299">
        <v>440.78</v>
      </c>
      <c r="E194" s="1300">
        <v>447.7</v>
      </c>
      <c r="F194" s="1300">
        <v>454.62</v>
      </c>
      <c r="G194" s="1300">
        <v>461.53</v>
      </c>
      <c r="H194" s="1301">
        <v>468.45</v>
      </c>
      <c r="I194" s="1288">
        <v>475.36</v>
      </c>
      <c r="J194" s="1288">
        <v>482.28</v>
      </c>
      <c r="K194" s="1288">
        <v>489.2</v>
      </c>
      <c r="L194" s="1288">
        <v>496.11</v>
      </c>
      <c r="M194" s="1288">
        <v>503.03</v>
      </c>
      <c r="N194" s="1288">
        <v>509.94</v>
      </c>
      <c r="O194" s="1289">
        <v>516.86</v>
      </c>
      <c r="P194" s="1289">
        <v>523.78</v>
      </c>
      <c r="Q194" s="1289">
        <v>530.69000000000005</v>
      </c>
      <c r="R194" s="1289">
        <v>537.61</v>
      </c>
      <c r="S194" s="1289">
        <v>413.12</v>
      </c>
      <c r="T194" s="1289">
        <v>406.2</v>
      </c>
      <c r="U194" s="1289">
        <v>303.02999999999997</v>
      </c>
      <c r="V194" s="1289">
        <v>296.12</v>
      </c>
      <c r="W194" s="1289">
        <v>289.2</v>
      </c>
      <c r="X194" s="62">
        <v>190</v>
      </c>
      <c r="Y194" s="1296">
        <v>257.12</v>
      </c>
      <c r="Z194" s="1297">
        <v>262</v>
      </c>
      <c r="AA194" s="1298">
        <v>266.89</v>
      </c>
      <c r="AB194" s="1299">
        <v>271.77</v>
      </c>
      <c r="AC194" s="1300">
        <v>276.64999999999998</v>
      </c>
      <c r="AD194" s="1300">
        <v>281.54000000000002</v>
      </c>
      <c r="AE194" s="1285">
        <v>286.42</v>
      </c>
      <c r="AF194" s="1301">
        <v>291.5</v>
      </c>
      <c r="AG194" s="1288">
        <v>296.19</v>
      </c>
      <c r="AH194" s="1288">
        <v>301.7</v>
      </c>
      <c r="AI194" s="1288">
        <v>305.69499999999999</v>
      </c>
      <c r="AJ194" s="1288">
        <v>310.83</v>
      </c>
      <c r="AK194" s="1288">
        <v>315.72000000000003</v>
      </c>
      <c r="AL194" s="1288">
        <v>320.60000000000002</v>
      </c>
      <c r="AM194" s="1289">
        <v>325.48</v>
      </c>
      <c r="AN194" s="1289">
        <v>330.37</v>
      </c>
      <c r="AO194" s="1289">
        <v>335.25</v>
      </c>
      <c r="AP194" s="1289">
        <v>340.13</v>
      </c>
      <c r="AQ194" s="1289">
        <v>252.24</v>
      </c>
      <c r="AR194" s="1289">
        <v>247.36</v>
      </c>
      <c r="AS194" s="1289">
        <v>194.25</v>
      </c>
      <c r="AT194" s="1289">
        <v>189.37</v>
      </c>
      <c r="AU194" s="1289">
        <v>184.48</v>
      </c>
    </row>
    <row r="195" spans="1:47">
      <c r="A195" s="1296">
        <v>422.4</v>
      </c>
      <c r="B195" s="1297">
        <v>429.36</v>
      </c>
      <c r="C195" s="1298">
        <v>436.31</v>
      </c>
      <c r="D195" s="1299">
        <v>443.26</v>
      </c>
      <c r="E195" s="1300">
        <v>450.21</v>
      </c>
      <c r="F195" s="1300">
        <v>457.17</v>
      </c>
      <c r="G195" s="1300">
        <v>464.12</v>
      </c>
      <c r="H195" s="1301">
        <v>471.07</v>
      </c>
      <c r="I195" s="1288">
        <v>478.02</v>
      </c>
      <c r="J195" s="1288">
        <v>484.97</v>
      </c>
      <c r="K195" s="1288">
        <v>491.93</v>
      </c>
      <c r="L195" s="1288">
        <v>498.88</v>
      </c>
      <c r="M195" s="1288">
        <v>505.89</v>
      </c>
      <c r="N195" s="1288">
        <v>512.78</v>
      </c>
      <c r="O195" s="1289">
        <v>519.74</v>
      </c>
      <c r="P195" s="1289">
        <v>526.69000000000005</v>
      </c>
      <c r="Q195" s="1289">
        <v>533.64</v>
      </c>
      <c r="R195" s="1289">
        <v>540.59</v>
      </c>
      <c r="S195" s="1289">
        <v>415.45</v>
      </c>
      <c r="T195" s="1289">
        <v>408.5</v>
      </c>
      <c r="U195" s="1289">
        <v>304.72000000000003</v>
      </c>
      <c r="V195" s="1289">
        <v>297.77</v>
      </c>
      <c r="W195" s="1289">
        <v>290.81</v>
      </c>
      <c r="X195" s="62">
        <v>191</v>
      </c>
      <c r="Y195" s="1296">
        <v>258.52</v>
      </c>
      <c r="Z195" s="1297">
        <v>263.43</v>
      </c>
      <c r="AA195" s="1298">
        <v>268.33999999999997</v>
      </c>
      <c r="AB195" s="1299">
        <v>273.24</v>
      </c>
      <c r="AC195" s="1300">
        <v>278.14999999999998</v>
      </c>
      <c r="AD195" s="1300">
        <v>283.06</v>
      </c>
      <c r="AE195" s="1285">
        <v>287.97000000000003</v>
      </c>
      <c r="AF195" s="1301">
        <v>292.88</v>
      </c>
      <c r="AG195" s="1288">
        <v>297.79000000000002</v>
      </c>
      <c r="AH195" s="1288">
        <v>302.7</v>
      </c>
      <c r="AI195" s="1288">
        <v>307.61</v>
      </c>
      <c r="AJ195" s="1288">
        <v>312.51</v>
      </c>
      <c r="AK195" s="1288">
        <v>317.42</v>
      </c>
      <c r="AL195" s="1288">
        <v>322.33</v>
      </c>
      <c r="AM195" s="1289">
        <v>327.24</v>
      </c>
      <c r="AN195" s="1289">
        <v>332.15</v>
      </c>
      <c r="AO195" s="1289">
        <v>337.06</v>
      </c>
      <c r="AP195" s="1289">
        <v>341.97</v>
      </c>
      <c r="AQ195" s="1289">
        <v>253.61</v>
      </c>
      <c r="AR195" s="1289">
        <v>248.7</v>
      </c>
      <c r="AS195" s="1289">
        <v>195.3</v>
      </c>
      <c r="AT195" s="1289">
        <v>190.39</v>
      </c>
      <c r="AU195" s="1289">
        <v>185.48</v>
      </c>
    </row>
    <row r="196" spans="1:47">
      <c r="A196" s="1296">
        <v>424.17</v>
      </c>
      <c r="B196" s="1297">
        <v>431.15</v>
      </c>
      <c r="C196" s="1298">
        <v>438.14</v>
      </c>
      <c r="D196" s="1299">
        <v>445.13</v>
      </c>
      <c r="E196" s="1300">
        <v>452.12</v>
      </c>
      <c r="F196" s="1300">
        <v>459.11</v>
      </c>
      <c r="G196" s="1300">
        <v>466.1</v>
      </c>
      <c r="H196" s="1301">
        <v>473.09</v>
      </c>
      <c r="I196" s="1288">
        <v>480.08</v>
      </c>
      <c r="J196" s="1288">
        <v>487.06</v>
      </c>
      <c r="K196" s="1288">
        <v>494.05</v>
      </c>
      <c r="L196" s="1288">
        <v>501.04</v>
      </c>
      <c r="M196" s="1288">
        <v>508.03</v>
      </c>
      <c r="N196" s="1288">
        <v>515.02</v>
      </c>
      <c r="O196" s="1289">
        <v>522.01</v>
      </c>
      <c r="P196" s="1289">
        <v>529</v>
      </c>
      <c r="Q196" s="1289">
        <v>535.99</v>
      </c>
      <c r="R196" s="1289">
        <v>542.97</v>
      </c>
      <c r="S196" s="1289">
        <v>417.18</v>
      </c>
      <c r="T196" s="1289">
        <v>410.19</v>
      </c>
      <c r="U196" s="1289">
        <v>306.05</v>
      </c>
      <c r="V196" s="1289">
        <v>299.06</v>
      </c>
      <c r="W196" s="1289">
        <v>292.07</v>
      </c>
      <c r="X196" s="62">
        <v>192</v>
      </c>
      <c r="Y196" s="1296">
        <v>259.75</v>
      </c>
      <c r="Z196" s="1297">
        <v>264.69</v>
      </c>
      <c r="AA196" s="1298">
        <v>269.62</v>
      </c>
      <c r="AB196" s="1299">
        <v>274.56</v>
      </c>
      <c r="AC196" s="1300">
        <v>279.49</v>
      </c>
      <c r="AD196" s="1300">
        <v>284.43</v>
      </c>
      <c r="AE196" s="1285">
        <v>289.36</v>
      </c>
      <c r="AF196" s="1301">
        <v>294.3</v>
      </c>
      <c r="AG196" s="1288">
        <v>299.23</v>
      </c>
      <c r="AH196" s="1288">
        <v>304.16000000000003</v>
      </c>
      <c r="AI196" s="1288">
        <v>309.10000000000002</v>
      </c>
      <c r="AJ196" s="1288">
        <v>314.02999999999997</v>
      </c>
      <c r="AK196" s="1288">
        <v>318.97000000000003</v>
      </c>
      <c r="AL196" s="1288">
        <v>323.89999999999998</v>
      </c>
      <c r="AM196" s="1289">
        <v>328.84</v>
      </c>
      <c r="AN196" s="1289">
        <v>333.77</v>
      </c>
      <c r="AO196" s="1289">
        <v>338.7</v>
      </c>
      <c r="AP196" s="1289">
        <v>343.64</v>
      </c>
      <c r="AQ196" s="1289">
        <v>254.82</v>
      </c>
      <c r="AR196" s="1289">
        <v>249.89</v>
      </c>
      <c r="AS196" s="1289">
        <v>196.25</v>
      </c>
      <c r="AT196" s="1289">
        <v>191.31</v>
      </c>
      <c r="AU196" s="1289">
        <v>186.38</v>
      </c>
    </row>
    <row r="197" spans="1:47">
      <c r="A197" s="1296">
        <v>426.54</v>
      </c>
      <c r="B197" s="1297">
        <v>433.57</v>
      </c>
      <c r="C197" s="1298">
        <v>440.59</v>
      </c>
      <c r="D197" s="1299">
        <v>447.62</v>
      </c>
      <c r="E197" s="1300">
        <v>454.66399999999999</v>
      </c>
      <c r="F197" s="1300">
        <v>461.67</v>
      </c>
      <c r="G197" s="1300">
        <v>468.69</v>
      </c>
      <c r="H197" s="1301">
        <v>475.72</v>
      </c>
      <c r="I197" s="1288">
        <v>482.42</v>
      </c>
      <c r="J197" s="1288">
        <v>489.77</v>
      </c>
      <c r="K197" s="1288">
        <v>496.79</v>
      </c>
      <c r="L197" s="1288">
        <v>503.82</v>
      </c>
      <c r="M197" s="1288">
        <v>510.84</v>
      </c>
      <c r="N197" s="1288">
        <v>517.87</v>
      </c>
      <c r="O197" s="1289">
        <v>524.89</v>
      </c>
      <c r="P197" s="1289">
        <v>531.91999999999996</v>
      </c>
      <c r="Q197" s="1289">
        <v>538.94000000000005</v>
      </c>
      <c r="R197" s="1289">
        <v>545.97</v>
      </c>
      <c r="S197" s="1289">
        <v>419.52</v>
      </c>
      <c r="T197" s="1289">
        <v>412.49</v>
      </c>
      <c r="U197" s="1289">
        <v>307.74</v>
      </c>
      <c r="V197" s="1289">
        <v>300.72000000000003</v>
      </c>
      <c r="W197" s="1289">
        <v>293.69</v>
      </c>
      <c r="X197" s="62">
        <v>193</v>
      </c>
      <c r="Y197" s="1296">
        <v>261.14999999999998</v>
      </c>
      <c r="Z197" s="1297">
        <v>266.11</v>
      </c>
      <c r="AA197" s="1298">
        <v>271.07</v>
      </c>
      <c r="AB197" s="1299">
        <v>276.02999999999997</v>
      </c>
      <c r="AC197" s="1300">
        <v>280.99</v>
      </c>
      <c r="AD197" s="1300">
        <v>285.95</v>
      </c>
      <c r="AE197" s="1285">
        <v>290.91000000000003</v>
      </c>
      <c r="AF197" s="1301">
        <v>295.87</v>
      </c>
      <c r="AG197" s="1288">
        <v>300.83</v>
      </c>
      <c r="AH197" s="1288">
        <v>305.79000000000002</v>
      </c>
      <c r="AI197" s="1288">
        <v>310.75</v>
      </c>
      <c r="AJ197" s="1288">
        <v>315.70999999999998</v>
      </c>
      <c r="AK197" s="1288">
        <v>320.67</v>
      </c>
      <c r="AL197" s="1288">
        <v>325.63</v>
      </c>
      <c r="AM197" s="1289">
        <v>330.59</v>
      </c>
      <c r="AN197" s="1289">
        <v>335.55</v>
      </c>
      <c r="AO197" s="1289">
        <v>341.51</v>
      </c>
      <c r="AP197" s="1289">
        <v>345.47</v>
      </c>
      <c r="AQ197" s="1289">
        <v>256.19</v>
      </c>
      <c r="AR197" s="1289">
        <v>251.23</v>
      </c>
      <c r="AS197" s="1289">
        <v>197.3</v>
      </c>
      <c r="AT197" s="1289">
        <v>192.34</v>
      </c>
      <c r="AU197" s="1289">
        <v>187.38</v>
      </c>
    </row>
    <row r="198" spans="1:47">
      <c r="A198" s="1296">
        <v>428.92</v>
      </c>
      <c r="B198" s="1297">
        <v>435.99</v>
      </c>
      <c r="C198" s="1298">
        <v>443.05</v>
      </c>
      <c r="D198" s="1299">
        <v>450.11</v>
      </c>
      <c r="E198" s="1300">
        <v>457.17</v>
      </c>
      <c r="F198" s="1300">
        <v>464.23</v>
      </c>
      <c r="G198" s="1300">
        <v>471.29</v>
      </c>
      <c r="H198" s="1301">
        <v>478.36</v>
      </c>
      <c r="I198" s="1288">
        <v>485.42</v>
      </c>
      <c r="J198" s="1288">
        <v>492.48</v>
      </c>
      <c r="K198" s="1288">
        <v>499.54</v>
      </c>
      <c r="L198" s="1288">
        <v>506.6</v>
      </c>
      <c r="M198" s="1288">
        <v>513.66</v>
      </c>
      <c r="N198" s="1288">
        <v>520.73</v>
      </c>
      <c r="O198" s="1289">
        <v>527.79</v>
      </c>
      <c r="P198" s="1289">
        <v>534.85</v>
      </c>
      <c r="Q198" s="1289">
        <v>541.91</v>
      </c>
      <c r="R198" s="1289">
        <v>548.97</v>
      </c>
      <c r="S198" s="1289">
        <v>421.86</v>
      </c>
      <c r="T198" s="1289">
        <v>414.8</v>
      </c>
      <c r="U198" s="1289">
        <v>309.44</v>
      </c>
      <c r="V198" s="1289">
        <v>302.38</v>
      </c>
      <c r="W198" s="1289">
        <v>295.32</v>
      </c>
      <c r="X198" s="62">
        <v>194</v>
      </c>
      <c r="Y198" s="1296">
        <v>262.55</v>
      </c>
      <c r="Z198" s="1297">
        <v>267.54000000000002</v>
      </c>
      <c r="AA198" s="1298">
        <v>272.52999999999997</v>
      </c>
      <c r="AB198" s="1299">
        <v>277.51</v>
      </c>
      <c r="AC198" s="1300">
        <v>282.5</v>
      </c>
      <c r="AD198" s="1300">
        <v>287.48</v>
      </c>
      <c r="AE198" s="1285">
        <v>292.47000000000003</v>
      </c>
      <c r="AF198" s="1301">
        <v>297.45</v>
      </c>
      <c r="AG198" s="1288">
        <v>302.44</v>
      </c>
      <c r="AH198" s="1288">
        <v>307.43</v>
      </c>
      <c r="AI198" s="1288">
        <v>312.41000000000003</v>
      </c>
      <c r="AJ198" s="1288">
        <v>317.39999999999998</v>
      </c>
      <c r="AK198" s="1288">
        <v>322.38</v>
      </c>
      <c r="AL198" s="1288">
        <v>327.37</v>
      </c>
      <c r="AM198" s="1289">
        <v>332.36</v>
      </c>
      <c r="AN198" s="1289">
        <v>337.34</v>
      </c>
      <c r="AO198" s="1289">
        <v>342.33</v>
      </c>
      <c r="AP198" s="1289">
        <v>347.31</v>
      </c>
      <c r="AQ198" s="1289">
        <v>257.57</v>
      </c>
      <c r="AR198" s="1289">
        <v>252.58</v>
      </c>
      <c r="AS198" s="1289">
        <v>198.35</v>
      </c>
      <c r="AT198" s="1289">
        <v>193.36</v>
      </c>
      <c r="AU198" s="1289">
        <v>188.38</v>
      </c>
    </row>
    <row r="199" spans="1:47">
      <c r="A199" s="1296">
        <v>431.32</v>
      </c>
      <c r="B199" s="1297">
        <v>438.42</v>
      </c>
      <c r="C199" s="1298">
        <v>445.51</v>
      </c>
      <c r="D199" s="1299">
        <v>452.61</v>
      </c>
      <c r="E199" s="1300">
        <v>459.71</v>
      </c>
      <c r="F199" s="1300">
        <v>466.81</v>
      </c>
      <c r="G199" s="1300">
        <v>473.91</v>
      </c>
      <c r="H199" s="1301">
        <v>481</v>
      </c>
      <c r="I199" s="1288">
        <v>488.1</v>
      </c>
      <c r="J199" s="1288">
        <v>495.2</v>
      </c>
      <c r="K199" s="1288">
        <v>502.3</v>
      </c>
      <c r="L199" s="1288">
        <v>509.4</v>
      </c>
      <c r="M199" s="1288">
        <v>516.49</v>
      </c>
      <c r="N199" s="1288">
        <v>523.9</v>
      </c>
      <c r="O199" s="1289">
        <v>530.69000000000005</v>
      </c>
      <c r="P199" s="1289">
        <v>537.79</v>
      </c>
      <c r="Q199" s="1289">
        <v>544.89</v>
      </c>
      <c r="R199" s="1289">
        <v>551.98</v>
      </c>
      <c r="S199" s="1289">
        <v>424.22</v>
      </c>
      <c r="T199" s="1289">
        <v>417.12</v>
      </c>
      <c r="U199" s="1289">
        <v>311.14</v>
      </c>
      <c r="V199" s="1289">
        <v>304.04000000000002</v>
      </c>
      <c r="W199" s="1289">
        <v>296.94</v>
      </c>
      <c r="X199" s="62">
        <v>195</v>
      </c>
      <c r="Y199" s="1296">
        <v>263.79000000000002</v>
      </c>
      <c r="Z199" s="1297">
        <v>268.8</v>
      </c>
      <c r="AA199" s="1298">
        <v>273.81</v>
      </c>
      <c r="AB199" s="1299">
        <v>278.82</v>
      </c>
      <c r="AC199" s="1300">
        <v>283.83999999999997</v>
      </c>
      <c r="AD199" s="1300">
        <v>288.85000000000002</v>
      </c>
      <c r="AE199" s="1285">
        <v>293.86</v>
      </c>
      <c r="AF199" s="1301">
        <v>298.87</v>
      </c>
      <c r="AG199" s="1288">
        <v>303.88</v>
      </c>
      <c r="AH199" s="1288">
        <v>308.89</v>
      </c>
      <c r="AI199" s="1288">
        <v>313.91000000000003</v>
      </c>
      <c r="AJ199" s="1288">
        <v>318.92</v>
      </c>
      <c r="AK199" s="1288">
        <v>323.93</v>
      </c>
      <c r="AL199" s="1288">
        <v>328.94</v>
      </c>
      <c r="AM199" s="1289">
        <v>333.95</v>
      </c>
      <c r="AN199" s="1289">
        <v>338.96</v>
      </c>
      <c r="AO199" s="1289">
        <v>343.97</v>
      </c>
      <c r="AP199" s="1289">
        <v>348.99</v>
      </c>
      <c r="AQ199" s="1289">
        <v>258.77999999999997</v>
      </c>
      <c r="AR199" s="1289">
        <v>253.77</v>
      </c>
      <c r="AS199" s="1289">
        <v>199.3</v>
      </c>
      <c r="AT199" s="1289">
        <v>194.29</v>
      </c>
      <c r="AU199" s="1289">
        <v>189.28</v>
      </c>
    </row>
    <row r="200" spans="1:47">
      <c r="A200" s="1296">
        <v>433.08</v>
      </c>
      <c r="B200" s="1297">
        <v>440.21</v>
      </c>
      <c r="C200" s="1298">
        <v>447.35</v>
      </c>
      <c r="D200" s="1299">
        <v>454.48</v>
      </c>
      <c r="E200" s="1300">
        <v>461.62</v>
      </c>
      <c r="F200" s="1300">
        <v>468.75</v>
      </c>
      <c r="G200" s="1300">
        <v>475.89</v>
      </c>
      <c r="H200" s="1301">
        <v>483</v>
      </c>
      <c r="I200" s="1288">
        <v>490.16</v>
      </c>
      <c r="J200" s="1288">
        <v>497.29</v>
      </c>
      <c r="K200" s="1288">
        <v>504.42</v>
      </c>
      <c r="L200" s="1288">
        <v>511.56</v>
      </c>
      <c r="M200" s="1288">
        <v>518.69000000000005</v>
      </c>
      <c r="N200" s="1288">
        <v>525.83000000000004</v>
      </c>
      <c r="O200" s="1289">
        <v>532.96</v>
      </c>
      <c r="P200" s="1289">
        <v>540.1</v>
      </c>
      <c r="Q200" s="1289">
        <v>547.23</v>
      </c>
      <c r="R200" s="1289">
        <v>554.36</v>
      </c>
      <c r="S200" s="1289">
        <v>425.95</v>
      </c>
      <c r="T200" s="1289">
        <v>418.81</v>
      </c>
      <c r="U200" s="1289">
        <v>312.47000000000003</v>
      </c>
      <c r="V200" s="1289">
        <v>305.33999999999997</v>
      </c>
      <c r="W200" s="1289">
        <v>298.20999999999998</v>
      </c>
      <c r="X200" s="62">
        <v>196</v>
      </c>
      <c r="Y200" s="1296">
        <v>265.19</v>
      </c>
      <c r="Z200" s="1297">
        <v>270.23</v>
      </c>
      <c r="AA200" s="1298">
        <v>275.27</v>
      </c>
      <c r="AB200" s="1299">
        <v>280.31</v>
      </c>
      <c r="AC200" s="1300">
        <v>285.33999999999997</v>
      </c>
      <c r="AD200" s="1300">
        <v>290.38</v>
      </c>
      <c r="AE200" s="1285">
        <v>295.42</v>
      </c>
      <c r="AF200" s="1301">
        <v>300.45</v>
      </c>
      <c r="AG200" s="1288">
        <v>305.49</v>
      </c>
      <c r="AH200" s="1288">
        <v>310.52999999999997</v>
      </c>
      <c r="AI200" s="1288">
        <v>315.57</v>
      </c>
      <c r="AJ200" s="1288">
        <v>320.60000000000002</v>
      </c>
      <c r="AK200" s="1288">
        <v>325.64</v>
      </c>
      <c r="AL200" s="1288">
        <v>330.68</v>
      </c>
      <c r="AM200" s="1289">
        <v>335.71</v>
      </c>
      <c r="AN200" s="1289">
        <v>340.75</v>
      </c>
      <c r="AO200" s="1289">
        <v>345.79</v>
      </c>
      <c r="AP200" s="1289">
        <v>350.83</v>
      </c>
      <c r="AQ200" s="1289">
        <v>260.16000000000003</v>
      </c>
      <c r="AR200" s="1289">
        <v>255.12</v>
      </c>
      <c r="AS200" s="1289">
        <v>200.35</v>
      </c>
      <c r="AT200" s="1289">
        <v>195.32</v>
      </c>
      <c r="AU200" s="1289">
        <v>190.28</v>
      </c>
    </row>
    <row r="201" spans="1:47">
      <c r="A201" s="1296">
        <v>435.48</v>
      </c>
      <c r="B201" s="1297">
        <v>442.65</v>
      </c>
      <c r="C201" s="1298">
        <v>449.82</v>
      </c>
      <c r="D201" s="1299">
        <v>456.99</v>
      </c>
      <c r="E201" s="1300">
        <v>464.17</v>
      </c>
      <c r="F201" s="1300">
        <v>471.34</v>
      </c>
      <c r="G201" s="1300">
        <v>478.51</v>
      </c>
      <c r="H201" s="1301">
        <v>485.68</v>
      </c>
      <c r="I201" s="1288">
        <v>492.85</v>
      </c>
      <c r="J201" s="1288">
        <v>500.02</v>
      </c>
      <c r="K201" s="1288">
        <v>507.19</v>
      </c>
      <c r="L201" s="1288">
        <v>514.36</v>
      </c>
      <c r="M201" s="1288">
        <v>521.53</v>
      </c>
      <c r="N201" s="1288">
        <v>528.70000000000005</v>
      </c>
      <c r="O201" s="1289">
        <v>535.87</v>
      </c>
      <c r="P201" s="1289">
        <v>543.04</v>
      </c>
      <c r="Q201" s="1289">
        <v>550.21</v>
      </c>
      <c r="R201" s="1289">
        <v>557.39</v>
      </c>
      <c r="S201" s="1289">
        <v>428.31</v>
      </c>
      <c r="T201" s="1289">
        <v>421.14</v>
      </c>
      <c r="U201" s="1289">
        <v>314.18</v>
      </c>
      <c r="V201" s="1289">
        <v>307.01</v>
      </c>
      <c r="W201" s="1289">
        <v>299.83999999999997</v>
      </c>
      <c r="X201" s="62">
        <v>197</v>
      </c>
      <c r="Y201" s="1296">
        <v>266.60000000000002</v>
      </c>
      <c r="Z201" s="1297">
        <v>271.66000000000003</v>
      </c>
      <c r="AA201" s="1298">
        <v>276.73</v>
      </c>
      <c r="AB201" s="1299">
        <v>281.79000000000002</v>
      </c>
      <c r="AC201" s="1300">
        <v>286.85000000000002</v>
      </c>
      <c r="AD201" s="1300">
        <v>291.91000000000003</v>
      </c>
      <c r="AE201" s="1285">
        <v>296.98</v>
      </c>
      <c r="AF201" s="1301">
        <v>302.04000000000002</v>
      </c>
      <c r="AG201" s="1288">
        <v>307.10000000000002</v>
      </c>
      <c r="AH201" s="1288">
        <v>312.17</v>
      </c>
      <c r="AI201" s="1288">
        <v>317.23</v>
      </c>
      <c r="AJ201" s="1288">
        <v>322.29000000000002</v>
      </c>
      <c r="AK201" s="1288">
        <v>327.35000000000002</v>
      </c>
      <c r="AL201" s="1288">
        <v>332.42</v>
      </c>
      <c r="AM201" s="1289">
        <v>337.48</v>
      </c>
      <c r="AN201" s="1289">
        <v>342.54</v>
      </c>
      <c r="AO201" s="1289">
        <v>347.61</v>
      </c>
      <c r="AP201" s="1289">
        <v>352.67</v>
      </c>
      <c r="AQ201" s="1289">
        <v>261.54000000000002</v>
      </c>
      <c r="AR201" s="1289">
        <v>256.47000000000003</v>
      </c>
      <c r="AS201" s="1289">
        <v>201.41</v>
      </c>
      <c r="AT201" s="1289">
        <v>196.35</v>
      </c>
      <c r="AU201" s="1289">
        <v>191.28</v>
      </c>
    </row>
    <row r="202" spans="1:47">
      <c r="A202" s="1262">
        <v>437.89</v>
      </c>
      <c r="B202" s="1297">
        <v>445.1</v>
      </c>
      <c r="C202" s="1264">
        <v>452.31</v>
      </c>
      <c r="D202" s="1265">
        <v>459.22</v>
      </c>
      <c r="E202" s="1266">
        <v>466.72</v>
      </c>
      <c r="F202" s="1266">
        <v>473.93</v>
      </c>
      <c r="G202" s="1266">
        <v>481.14</v>
      </c>
      <c r="H202" s="1267">
        <v>488.34</v>
      </c>
      <c r="I202" s="1288">
        <v>495.55</v>
      </c>
      <c r="J202" s="1288">
        <v>502.76</v>
      </c>
      <c r="K202" s="1288">
        <v>509.97</v>
      </c>
      <c r="L202" s="1288">
        <v>517.16999999999996</v>
      </c>
      <c r="M202" s="1288">
        <v>524.38</v>
      </c>
      <c r="N202" s="1288">
        <v>531.59</v>
      </c>
      <c r="O202" s="1289">
        <v>538.79</v>
      </c>
      <c r="P202" s="1289">
        <v>546</v>
      </c>
      <c r="Q202" s="1289">
        <v>553.21</v>
      </c>
      <c r="R202" s="1289">
        <v>560.41999999999996</v>
      </c>
      <c r="S202" s="1289">
        <v>430.69</v>
      </c>
      <c r="T202" s="1289">
        <v>423.18</v>
      </c>
      <c r="U202" s="1289">
        <v>315.89</v>
      </c>
      <c r="V202" s="1289">
        <v>308.69</v>
      </c>
      <c r="W202" s="1289">
        <v>301.48</v>
      </c>
      <c r="X202" s="62">
        <v>198</v>
      </c>
      <c r="Y202" s="1262">
        <v>267.83999999999997</v>
      </c>
      <c r="Z202" s="1263">
        <v>272.92</v>
      </c>
      <c r="AA202" s="1264">
        <v>278.01</v>
      </c>
      <c r="AB202" s="1265">
        <v>283.10000000000002</v>
      </c>
      <c r="AC202" s="1266">
        <v>288.19</v>
      </c>
      <c r="AD202" s="1266">
        <v>293.27999999999997</v>
      </c>
      <c r="AE202" s="1285">
        <v>298.37</v>
      </c>
      <c r="AF202" s="1267">
        <v>303.45999999999998</v>
      </c>
      <c r="AG202" s="1288">
        <v>308.54000000000002</v>
      </c>
      <c r="AH202" s="1288">
        <v>313.63</v>
      </c>
      <c r="AI202" s="1288">
        <v>318.72000000000003</v>
      </c>
      <c r="AJ202" s="1288">
        <v>323.81</v>
      </c>
      <c r="AK202" s="1288">
        <v>328.9</v>
      </c>
      <c r="AL202" s="1288">
        <v>333.99</v>
      </c>
      <c r="AM202" s="1289">
        <v>339.08</v>
      </c>
      <c r="AN202" s="1289">
        <v>344.16</v>
      </c>
      <c r="AO202" s="1289">
        <v>349.25</v>
      </c>
      <c r="AP202" s="1289">
        <v>354.34</v>
      </c>
      <c r="AQ202" s="1289">
        <v>262.75</v>
      </c>
      <c r="AR202" s="1289">
        <v>257.66000000000003</v>
      </c>
      <c r="AS202" s="1289">
        <v>202.36</v>
      </c>
      <c r="AT202" s="1289">
        <v>197.27</v>
      </c>
      <c r="AU202" s="1289">
        <v>192.18</v>
      </c>
    </row>
    <row r="203" spans="1:47">
      <c r="A203" s="1277">
        <v>439.66</v>
      </c>
      <c r="B203" s="1263">
        <v>446.9</v>
      </c>
      <c r="C203" s="1279">
        <v>454.14</v>
      </c>
      <c r="D203" s="1280">
        <v>461.39</v>
      </c>
      <c r="E203" s="1281">
        <v>468.63</v>
      </c>
      <c r="F203" s="1281">
        <v>475.87</v>
      </c>
      <c r="G203" s="1281">
        <v>483.12</v>
      </c>
      <c r="H203" s="1282">
        <v>490.36</v>
      </c>
      <c r="I203" s="1288">
        <v>497.6</v>
      </c>
      <c r="J203" s="1288">
        <v>504.85</v>
      </c>
      <c r="K203" s="1288">
        <v>512.09</v>
      </c>
      <c r="L203" s="1288">
        <v>519.34</v>
      </c>
      <c r="M203" s="1288">
        <v>526.58000000000004</v>
      </c>
      <c r="N203" s="1288">
        <v>533.82000000000005</v>
      </c>
      <c r="O203" s="1289">
        <v>541.07000000000005</v>
      </c>
      <c r="P203" s="1289">
        <v>548.30999999999995</v>
      </c>
      <c r="Q203" s="1289">
        <v>555.54999999999995</v>
      </c>
      <c r="R203" s="1289">
        <v>562.79999999999995</v>
      </c>
      <c r="S203" s="1289">
        <v>432.41</v>
      </c>
      <c r="T203" s="1289">
        <v>425.17</v>
      </c>
      <c r="U203" s="1289">
        <v>317.23</v>
      </c>
      <c r="V203" s="1289">
        <v>309.38</v>
      </c>
      <c r="W203" s="1289">
        <v>302.74</v>
      </c>
      <c r="X203" s="62">
        <v>199</v>
      </c>
      <c r="Y203" s="1277">
        <v>269.24</v>
      </c>
      <c r="Z203" s="1278">
        <v>274.36</v>
      </c>
      <c r="AA203" s="1279">
        <v>279.47000000000003</v>
      </c>
      <c r="AB203" s="1280">
        <v>284.58999999999997</v>
      </c>
      <c r="AC203" s="1281">
        <v>289.7</v>
      </c>
      <c r="AD203" s="1281">
        <v>294.82</v>
      </c>
      <c r="AE203" s="1285">
        <v>299.96300000000002</v>
      </c>
      <c r="AF203" s="1282">
        <v>305.04000000000002</v>
      </c>
      <c r="AG203" s="1288">
        <v>310.16000000000003</v>
      </c>
      <c r="AH203" s="1288">
        <v>315.27</v>
      </c>
      <c r="AI203" s="1288">
        <v>320.39</v>
      </c>
      <c r="AJ203" s="1288">
        <v>325.5</v>
      </c>
      <c r="AK203" s="1288">
        <v>330.62</v>
      </c>
      <c r="AL203" s="1288">
        <v>335.73</v>
      </c>
      <c r="AM203" s="1289">
        <v>340.84</v>
      </c>
      <c r="AN203" s="1289">
        <v>345.96</v>
      </c>
      <c r="AO203" s="1289">
        <v>351.07</v>
      </c>
      <c r="AP203" s="1289">
        <v>356.19</v>
      </c>
      <c r="AQ203" s="1289">
        <v>264.13</v>
      </c>
      <c r="AR203" s="1289">
        <v>259.02</v>
      </c>
      <c r="AS203" s="1289">
        <v>203.41</v>
      </c>
      <c r="AT203" s="1289">
        <v>198.3</v>
      </c>
      <c r="AU203" s="1289">
        <v>193.19</v>
      </c>
    </row>
    <row r="204" spans="1:47" ht="21.75" thickBot="1">
      <c r="A204" s="1304">
        <v>442.08</v>
      </c>
      <c r="B204" s="1278">
        <v>449.36</v>
      </c>
      <c r="C204" s="1306">
        <v>456.64</v>
      </c>
      <c r="D204" s="1307">
        <v>463.92</v>
      </c>
      <c r="E204" s="1308">
        <v>471.2</v>
      </c>
      <c r="F204" s="1308">
        <v>478.48</v>
      </c>
      <c r="G204" s="1308">
        <v>485.76</v>
      </c>
      <c r="H204" s="1309">
        <v>493.04</v>
      </c>
      <c r="I204" s="1310">
        <v>500.32</v>
      </c>
      <c r="J204" s="1310">
        <v>507.6</v>
      </c>
      <c r="K204" s="1310">
        <v>514.88</v>
      </c>
      <c r="L204" s="1310">
        <v>522.16</v>
      </c>
      <c r="M204" s="1310">
        <v>529.44000000000005</v>
      </c>
      <c r="N204" s="1310">
        <v>536.72</v>
      </c>
      <c r="O204" s="1289">
        <v>544</v>
      </c>
      <c r="P204" s="1311">
        <v>551.28</v>
      </c>
      <c r="Q204" s="1311">
        <v>558.55999999999995</v>
      </c>
      <c r="R204" s="1311">
        <v>565.84</v>
      </c>
      <c r="S204" s="1289">
        <v>434.8</v>
      </c>
      <c r="T204" s="1289">
        <v>427.52</v>
      </c>
      <c r="U204" s="1289">
        <v>318.94</v>
      </c>
      <c r="V204" s="1289">
        <v>311.66000000000003</v>
      </c>
      <c r="W204" s="1289">
        <v>304.38</v>
      </c>
      <c r="X204" s="63">
        <v>200</v>
      </c>
      <c r="Y204" s="1304">
        <v>270.64999999999998</v>
      </c>
      <c r="Z204" s="1305">
        <v>275.79000000000002</v>
      </c>
      <c r="AA204" s="1306">
        <v>280.93</v>
      </c>
      <c r="AB204" s="1307">
        <v>286.07</v>
      </c>
      <c r="AC204" s="1308">
        <v>291.20999999999998</v>
      </c>
      <c r="AD204" s="1308">
        <v>296.35000000000002</v>
      </c>
      <c r="AE204" s="1312">
        <v>301.49</v>
      </c>
      <c r="AF204" s="1309">
        <v>306.63</v>
      </c>
      <c r="AG204" s="1310">
        <v>311.77</v>
      </c>
      <c r="AH204" s="1310">
        <v>316.91000000000003</v>
      </c>
      <c r="AI204" s="1310">
        <v>322.05</v>
      </c>
      <c r="AJ204" s="1310">
        <v>327.19</v>
      </c>
      <c r="AK204" s="1310">
        <v>332.33</v>
      </c>
      <c r="AL204" s="1288">
        <v>337.47</v>
      </c>
      <c r="AM204" s="1311">
        <v>342.61</v>
      </c>
      <c r="AN204" s="1311">
        <v>347.75</v>
      </c>
      <c r="AO204" s="1311">
        <v>352.89</v>
      </c>
      <c r="AP204" s="1311">
        <v>358.03</v>
      </c>
      <c r="AQ204" s="1289">
        <v>265.51</v>
      </c>
      <c r="AR204" s="1289">
        <v>260.37</v>
      </c>
      <c r="AS204" s="1289">
        <v>204.47</v>
      </c>
      <c r="AT204" s="1289">
        <v>199.33</v>
      </c>
      <c r="AU204" s="1289">
        <v>194.19</v>
      </c>
    </row>
    <row r="205" spans="1:47" ht="21.75" thickBot="1">
      <c r="A205" s="1313">
        <v>2.21</v>
      </c>
      <c r="B205" s="1314">
        <v>2.25</v>
      </c>
      <c r="C205" s="1315">
        <v>2.29</v>
      </c>
      <c r="D205" s="1316">
        <v>2.3199999999999998</v>
      </c>
      <c r="E205" s="1317">
        <v>2.36</v>
      </c>
      <c r="F205" s="1317">
        <v>2.39</v>
      </c>
      <c r="G205" s="1317">
        <v>2.4300000000000002</v>
      </c>
      <c r="H205" s="1318">
        <v>2.46</v>
      </c>
      <c r="I205" s="1317">
        <v>2.5</v>
      </c>
      <c r="J205" s="1317">
        <v>2.54</v>
      </c>
      <c r="K205" s="1317">
        <v>2.58</v>
      </c>
      <c r="L205" s="1317">
        <v>2.61</v>
      </c>
      <c r="M205" s="1317">
        <v>2.65</v>
      </c>
      <c r="N205" s="1317">
        <v>2.69</v>
      </c>
      <c r="O205" s="1314">
        <v>2.72</v>
      </c>
      <c r="P205" s="1314">
        <v>2.76</v>
      </c>
      <c r="Q205" s="1314">
        <v>2.79</v>
      </c>
      <c r="R205" s="1319">
        <v>2.83</v>
      </c>
      <c r="S205" s="1320">
        <v>2.1800000000000002</v>
      </c>
      <c r="T205" s="1321">
        <v>2.14</v>
      </c>
      <c r="U205" s="1321">
        <v>1.6</v>
      </c>
      <c r="V205" s="1321">
        <v>1.56</v>
      </c>
      <c r="W205" s="1320">
        <v>1.52</v>
      </c>
      <c r="X205" s="1320"/>
      <c r="Y205" s="1313">
        <v>1.35</v>
      </c>
      <c r="Z205" s="1315">
        <v>1.38</v>
      </c>
      <c r="AA205" s="1315">
        <v>1.41</v>
      </c>
      <c r="AB205" s="1316">
        <v>1.43</v>
      </c>
      <c r="AC205" s="1316">
        <v>1.48</v>
      </c>
      <c r="AD205" s="1317">
        <v>1.48</v>
      </c>
      <c r="AE205" s="1317">
        <v>1.51</v>
      </c>
      <c r="AF205" s="1318">
        <v>1.54</v>
      </c>
      <c r="AG205" s="1322">
        <v>1.56</v>
      </c>
      <c r="AH205" s="1323">
        <v>1.59</v>
      </c>
      <c r="AI205" s="1323">
        <v>1.61</v>
      </c>
      <c r="AJ205" s="1323">
        <v>1.64</v>
      </c>
      <c r="AK205" s="1323">
        <v>1.66</v>
      </c>
      <c r="AL205" s="1323">
        <v>1.69</v>
      </c>
      <c r="AM205" s="1324">
        <v>1.71</v>
      </c>
      <c r="AN205" s="1324">
        <v>1.74</v>
      </c>
      <c r="AO205" s="1324">
        <v>1.76</v>
      </c>
      <c r="AP205" s="1321">
        <v>1.79</v>
      </c>
      <c r="AQ205" s="1320">
        <v>1.33</v>
      </c>
      <c r="AR205" s="1325">
        <v>1.3</v>
      </c>
      <c r="AS205" s="1325">
        <v>1.02</v>
      </c>
      <c r="AT205" s="1325">
        <v>1</v>
      </c>
      <c r="AU205" s="1320">
        <v>0.97</v>
      </c>
    </row>
    <row r="206" spans="1:4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W206" s="2"/>
      <c r="X206" s="2"/>
      <c r="Y206" s="2"/>
      <c r="Z206" s="2"/>
      <c r="AA206" s="79"/>
      <c r="AB206" s="2"/>
      <c r="AC206" s="2"/>
      <c r="AD206" s="2"/>
      <c r="AE206" s="2"/>
      <c r="AF206" s="2"/>
      <c r="AQ206" s="2"/>
      <c r="AR206" s="2"/>
      <c r="AS206" s="2"/>
      <c r="AT206" s="2"/>
    </row>
    <row r="208" spans="1:47">
      <c r="AJ208" s="80"/>
    </row>
  </sheetData>
  <phoneticPr fontId="0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O14"/>
  <sheetViews>
    <sheetView workbookViewId="0">
      <selection activeCell="E17" sqref="E17"/>
    </sheetView>
  </sheetViews>
  <sheetFormatPr defaultRowHeight="21.75"/>
  <cols>
    <col min="2" max="2" width="12.7109375" bestFit="1" customWidth="1"/>
    <col min="12" max="12" width="10.5703125" bestFit="1" customWidth="1"/>
    <col min="13" max="13" width="8.140625" bestFit="1" customWidth="1"/>
    <col min="14" max="14" width="12" bestFit="1" customWidth="1"/>
  </cols>
  <sheetData>
    <row r="2" spans="2:15">
      <c r="B2" s="1085" t="s">
        <v>1026</v>
      </c>
      <c r="C2" s="1086"/>
      <c r="D2" s="1087"/>
      <c r="E2" s="1086"/>
      <c r="F2" s="1087"/>
      <c r="G2" s="1086"/>
      <c r="H2" s="1087"/>
      <c r="I2" s="1086"/>
      <c r="J2" s="1087"/>
      <c r="K2" s="1086"/>
      <c r="L2" s="1086"/>
      <c r="M2" s="1086"/>
      <c r="N2" s="1086"/>
      <c r="O2" s="1086"/>
    </row>
    <row r="3" spans="2:15">
      <c r="B3" s="1088" t="s">
        <v>1027</v>
      </c>
      <c r="C3" s="1089" t="s">
        <v>1028</v>
      </c>
      <c r="D3" s="1090" t="s">
        <v>1029</v>
      </c>
      <c r="E3" s="1086"/>
      <c r="F3" s="1087" t="s">
        <v>1030</v>
      </c>
      <c r="G3" s="1086"/>
      <c r="H3" s="1087" t="s">
        <v>1031</v>
      </c>
      <c r="I3" s="1086"/>
      <c r="J3" s="1087" t="s">
        <v>1032</v>
      </c>
      <c r="K3" s="1086"/>
      <c r="L3" s="1091" t="s">
        <v>1033</v>
      </c>
      <c r="M3" s="1091" t="s">
        <v>1034</v>
      </c>
      <c r="N3" s="1091" t="s">
        <v>1035</v>
      </c>
      <c r="O3" s="1092" t="s">
        <v>15</v>
      </c>
    </row>
    <row r="4" spans="2:15">
      <c r="B4" s="1093"/>
      <c r="C4" s="1094"/>
      <c r="D4" s="1095" t="s">
        <v>709</v>
      </c>
      <c r="E4" s="1096" t="s">
        <v>1036</v>
      </c>
      <c r="F4" s="1096" t="s">
        <v>1037</v>
      </c>
      <c r="G4" s="1096" t="s">
        <v>1038</v>
      </c>
      <c r="H4" s="1096" t="s">
        <v>1037</v>
      </c>
      <c r="I4" s="1096" t="s">
        <v>1038</v>
      </c>
      <c r="J4" s="1096" t="s">
        <v>1037</v>
      </c>
      <c r="K4" s="1094" t="s">
        <v>1038</v>
      </c>
      <c r="L4" s="1094"/>
      <c r="M4" s="1094"/>
      <c r="N4" s="1094"/>
      <c r="O4" s="1094"/>
    </row>
    <row r="5" spans="2:15">
      <c r="B5" s="1088" t="s">
        <v>1039</v>
      </c>
      <c r="C5" s="1089">
        <v>30</v>
      </c>
      <c r="D5" s="1097">
        <v>0.3</v>
      </c>
      <c r="E5" s="1098">
        <v>0.05</v>
      </c>
      <c r="F5" s="1098">
        <v>1.6</v>
      </c>
      <c r="G5" s="1098">
        <v>1.3</v>
      </c>
      <c r="H5" s="1098">
        <v>2.15</v>
      </c>
      <c r="I5" s="1098">
        <v>1.3</v>
      </c>
      <c r="J5" s="1098">
        <v>2.7</v>
      </c>
      <c r="K5" s="1098">
        <v>1.3</v>
      </c>
      <c r="L5" s="1098">
        <v>48</v>
      </c>
      <c r="M5" s="1098">
        <v>140</v>
      </c>
      <c r="N5" s="1098">
        <v>0.12</v>
      </c>
      <c r="O5" s="1089"/>
    </row>
    <row r="6" spans="2:15">
      <c r="B6" s="1099"/>
      <c r="C6" s="1089">
        <v>30</v>
      </c>
      <c r="D6" s="1097">
        <v>0.4</v>
      </c>
      <c r="E6" s="1098">
        <v>0.06</v>
      </c>
      <c r="F6" s="1098">
        <v>1.72</v>
      </c>
      <c r="G6" s="1098">
        <v>1.52</v>
      </c>
      <c r="H6" s="1098">
        <v>2.44</v>
      </c>
      <c r="I6" s="1098">
        <v>1.52</v>
      </c>
      <c r="J6" s="1098">
        <v>3.16</v>
      </c>
      <c r="K6" s="1098">
        <v>1.52</v>
      </c>
      <c r="L6" s="1098">
        <v>32</v>
      </c>
      <c r="M6" s="1098">
        <v>140</v>
      </c>
      <c r="N6" s="1098">
        <v>0.18</v>
      </c>
      <c r="O6" s="1089"/>
    </row>
    <row r="7" spans="2:15">
      <c r="B7" s="1099"/>
      <c r="C7" s="1089">
        <v>30</v>
      </c>
      <c r="D7" s="1097">
        <v>0.5</v>
      </c>
      <c r="E7" s="1098">
        <v>7.0000000000000007E-2</v>
      </c>
      <c r="F7" s="1098">
        <v>1.84</v>
      </c>
      <c r="G7" s="1098">
        <v>1.74</v>
      </c>
      <c r="H7" s="1098">
        <v>2.58</v>
      </c>
      <c r="I7" s="1098">
        <v>1.74</v>
      </c>
      <c r="J7" s="1098">
        <v>3.62</v>
      </c>
      <c r="K7" s="1098">
        <v>1.74</v>
      </c>
      <c r="L7" s="1098">
        <v>24</v>
      </c>
      <c r="M7" s="1098">
        <v>250</v>
      </c>
      <c r="N7" s="1098">
        <v>0.25</v>
      </c>
      <c r="O7" s="1089"/>
    </row>
    <row r="8" spans="2:15">
      <c r="B8" s="1099"/>
      <c r="C8" s="1089">
        <v>30</v>
      </c>
      <c r="D8" s="1097">
        <v>0.6</v>
      </c>
      <c r="E8" s="1098">
        <v>7.4999999999999997E-2</v>
      </c>
      <c r="F8" s="1098">
        <v>1.95</v>
      </c>
      <c r="G8" s="1098">
        <v>1.95</v>
      </c>
      <c r="H8" s="1098">
        <v>3</v>
      </c>
      <c r="I8" s="1098">
        <v>1.95</v>
      </c>
      <c r="J8" s="1098">
        <v>4.05</v>
      </c>
      <c r="K8" s="1098">
        <v>1.95</v>
      </c>
      <c r="L8" s="1098">
        <v>24</v>
      </c>
      <c r="M8" s="1098">
        <v>345</v>
      </c>
      <c r="N8" s="1098">
        <v>0.32</v>
      </c>
      <c r="O8" s="1089"/>
    </row>
    <row r="9" spans="2:15">
      <c r="B9" s="1099"/>
      <c r="C9" s="1089">
        <v>30</v>
      </c>
      <c r="D9" s="1097">
        <v>0.8</v>
      </c>
      <c r="E9" s="1098">
        <v>9.5000000000000001E-2</v>
      </c>
      <c r="F9" s="1098">
        <v>2.19</v>
      </c>
      <c r="G9" s="1098">
        <v>2.39</v>
      </c>
      <c r="H9" s="1098">
        <v>3.58</v>
      </c>
      <c r="I9" s="1098">
        <v>2.39</v>
      </c>
      <c r="J9" s="1098">
        <v>4.97</v>
      </c>
      <c r="K9" s="1098">
        <v>2.39</v>
      </c>
      <c r="L9" s="1098">
        <v>18</v>
      </c>
      <c r="M9" s="1098">
        <v>421</v>
      </c>
      <c r="N9" s="1098">
        <v>0.5</v>
      </c>
      <c r="O9" s="1089"/>
    </row>
    <row r="10" spans="2:15">
      <c r="B10" s="1099"/>
      <c r="C10" s="1089">
        <v>30</v>
      </c>
      <c r="D10" s="1097">
        <v>1</v>
      </c>
      <c r="E10" s="1098">
        <v>0.11</v>
      </c>
      <c r="F10" s="1098">
        <v>2.42</v>
      </c>
      <c r="G10" s="1098">
        <v>2.82</v>
      </c>
      <c r="H10" s="1098">
        <v>4.1399999999999997</v>
      </c>
      <c r="I10" s="1098">
        <v>2.82</v>
      </c>
      <c r="J10" s="1098">
        <v>5.86</v>
      </c>
      <c r="K10" s="1098">
        <v>2.82</v>
      </c>
      <c r="L10" s="1098">
        <v>10</v>
      </c>
      <c r="M10" s="1098">
        <v>510</v>
      </c>
      <c r="N10" s="1098">
        <v>0.75</v>
      </c>
      <c r="O10" s="1089"/>
    </row>
    <row r="11" spans="2:15">
      <c r="B11" s="1099"/>
      <c r="C11" s="1089">
        <v>30</v>
      </c>
      <c r="D11" s="1097">
        <v>1.2</v>
      </c>
      <c r="E11" s="1098">
        <v>0.125</v>
      </c>
      <c r="F11" s="1098">
        <v>2.5499999999999998</v>
      </c>
      <c r="G11" s="1098">
        <v>3.25</v>
      </c>
      <c r="H11" s="1098">
        <v>4.7</v>
      </c>
      <c r="I11" s="1098">
        <v>3.25</v>
      </c>
      <c r="J11" s="1098">
        <v>6.75</v>
      </c>
      <c r="K11" s="1098">
        <v>3.25</v>
      </c>
      <c r="L11" s="1098">
        <v>8</v>
      </c>
      <c r="M11" s="1098">
        <v>575</v>
      </c>
      <c r="N11" s="1098">
        <v>1</v>
      </c>
      <c r="O11" s="1089"/>
    </row>
    <row r="12" spans="2:15">
      <c r="B12" s="1099"/>
      <c r="C12" s="1089">
        <v>30</v>
      </c>
      <c r="D12" s="1097">
        <v>1.35</v>
      </c>
      <c r="E12" s="1098">
        <v>0.14000000000000001</v>
      </c>
      <c r="F12" s="1098">
        <v>2.83</v>
      </c>
      <c r="G12" s="1098">
        <v>3.58</v>
      </c>
      <c r="H12" s="1098">
        <v>5.13</v>
      </c>
      <c r="I12" s="1098">
        <v>3.58</v>
      </c>
      <c r="J12" s="1098">
        <v>7.44</v>
      </c>
      <c r="K12" s="1098">
        <v>3.58</v>
      </c>
      <c r="L12" s="1098">
        <v>5</v>
      </c>
      <c r="M12" s="1098">
        <v>605</v>
      </c>
      <c r="N12" s="1098">
        <v>1.23</v>
      </c>
      <c r="O12" s="1089"/>
    </row>
    <row r="13" spans="2:15">
      <c r="B13" s="1093"/>
      <c r="C13" s="1094">
        <v>30</v>
      </c>
      <c r="D13" s="1100">
        <v>1.5</v>
      </c>
      <c r="E13" s="1101">
        <v>0.15</v>
      </c>
      <c r="F13" s="1101">
        <v>3</v>
      </c>
      <c r="G13" s="1101">
        <v>3.9</v>
      </c>
      <c r="H13" s="1101">
        <v>5.55</v>
      </c>
      <c r="I13" s="1101">
        <v>3.9</v>
      </c>
      <c r="J13" s="1101">
        <v>8.1</v>
      </c>
      <c r="K13" s="1101">
        <v>3.9</v>
      </c>
      <c r="L13" s="1101">
        <v>5</v>
      </c>
      <c r="M13" s="1101">
        <v>635</v>
      </c>
      <c r="N13" s="1101">
        <v>1.45</v>
      </c>
      <c r="O13" s="1094"/>
    </row>
    <row r="14" spans="2:15">
      <c r="B14" s="1102" t="s">
        <v>15</v>
      </c>
      <c r="C14" s="1103" t="s">
        <v>1040</v>
      </c>
      <c r="D14" s="1103"/>
      <c r="E14" s="1103"/>
      <c r="F14" s="1103"/>
      <c r="G14" s="1103"/>
      <c r="H14" s="1103"/>
      <c r="I14" s="1103"/>
      <c r="J14" s="1104"/>
      <c r="K14" s="1104"/>
      <c r="L14" s="1104"/>
      <c r="M14" s="1104"/>
      <c r="N14" s="1104"/>
      <c r="O14" s="110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00B050"/>
  </sheetPr>
  <dimension ref="A1:AJ414"/>
  <sheetViews>
    <sheetView showGridLines="0" tabSelected="1" view="pageBreakPreview" zoomScale="115" zoomScaleNormal="115" zoomScaleSheetLayoutView="115" workbookViewId="0">
      <selection activeCell="E77" sqref="E77"/>
    </sheetView>
  </sheetViews>
  <sheetFormatPr defaultColWidth="9.140625" defaultRowHeight="21.75"/>
  <cols>
    <col min="1" max="1" width="3.28515625" style="159" customWidth="1"/>
    <col min="2" max="2" width="10.42578125" style="159" customWidth="1"/>
    <col min="3" max="3" width="11.140625" style="159" customWidth="1"/>
    <col min="4" max="4" width="4.28515625" style="159" customWidth="1"/>
    <col min="5" max="6" width="12.5703125" style="159" customWidth="1"/>
    <col min="7" max="7" width="7.5703125" style="159" customWidth="1"/>
    <col min="8" max="8" width="8.42578125" style="159" customWidth="1"/>
    <col min="9" max="9" width="6.28515625" style="159" customWidth="1"/>
    <col min="10" max="10" width="4.42578125" style="159" customWidth="1"/>
    <col min="11" max="11" width="10.42578125" style="159" customWidth="1"/>
    <col min="12" max="12" width="8" style="159" customWidth="1"/>
    <col min="13" max="13" width="7.28515625" style="159" customWidth="1"/>
    <col min="14" max="14" width="12" style="159" customWidth="1"/>
    <col min="15" max="15" width="4.42578125" style="159" customWidth="1"/>
    <col min="16" max="16" width="28.85546875" style="159" customWidth="1"/>
    <col min="17" max="17" width="10" style="159" customWidth="1"/>
    <col min="18" max="18" width="12.5703125" style="159" customWidth="1"/>
    <col min="19" max="19" width="6.7109375" style="159" customWidth="1"/>
    <col min="20" max="20" width="9.7109375" style="159" customWidth="1"/>
    <col min="21" max="21" width="10" style="159" customWidth="1"/>
    <col min="22" max="22" width="19.7109375" style="159" customWidth="1"/>
    <col min="23" max="23" width="10.140625" style="159" customWidth="1"/>
    <col min="24" max="16384" width="9.140625" style="159"/>
  </cols>
  <sheetData>
    <row r="1" spans="1:36" ht="21.6" customHeight="1">
      <c r="B1" s="1893" t="s">
        <v>1392</v>
      </c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</row>
    <row r="2" spans="1:36" s="162" customFormat="1" ht="20.25" customHeight="1">
      <c r="A2" s="1894" t="s">
        <v>1393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1894"/>
      <c r="M2" s="1894"/>
      <c r="U2" s="164"/>
      <c r="V2" s="164"/>
    </row>
    <row r="3" spans="1:36" s="162" customFormat="1" ht="14.45" customHeight="1">
      <c r="A3" s="159"/>
      <c r="B3" s="164"/>
      <c r="C3" s="164"/>
      <c r="D3" s="164"/>
      <c r="E3" s="164"/>
      <c r="F3" s="164"/>
      <c r="H3" s="1407"/>
      <c r="I3" s="164"/>
      <c r="J3" s="1408"/>
      <c r="K3" s="164"/>
      <c r="L3" s="164"/>
      <c r="M3" s="164"/>
      <c r="N3" s="159"/>
      <c r="O3" s="159"/>
      <c r="P3" s="1409" t="s">
        <v>1378</v>
      </c>
      <c r="Q3" s="1410"/>
      <c r="R3" s="159"/>
      <c r="S3" s="159"/>
      <c r="T3" s="159"/>
      <c r="U3" s="164"/>
      <c r="V3" s="164"/>
    </row>
    <row r="4" spans="1:36" ht="17.25" customHeight="1">
      <c r="A4" s="1411"/>
      <c r="B4" s="461"/>
      <c r="C4" s="1412"/>
      <c r="D4" s="1413"/>
      <c r="E4" s="1413"/>
      <c r="F4" s="1413"/>
      <c r="G4" s="1413"/>
      <c r="H4" s="1413"/>
      <c r="I4" s="1413"/>
      <c r="J4" s="1414" t="s">
        <v>1459</v>
      </c>
      <c r="K4" s="1415"/>
      <c r="L4" s="1416"/>
      <c r="M4" s="1415"/>
      <c r="N4" s="1413"/>
      <c r="P4" s="1417" t="s">
        <v>1379</v>
      </c>
      <c r="Q4" s="1418"/>
      <c r="R4" s="1419"/>
      <c r="S4" s="1418"/>
      <c r="T4" s="1420"/>
      <c r="U4" s="1408"/>
      <c r="V4" s="162"/>
      <c r="Y4" s="1898"/>
      <c r="Z4" s="1898"/>
      <c r="AA4" s="1898"/>
      <c r="AB4" s="1898"/>
      <c r="AC4" s="1898"/>
      <c r="AD4" s="1898"/>
      <c r="AE4" s="1898"/>
      <c r="AF4" s="1898"/>
      <c r="AG4" s="1898"/>
      <c r="AH4" s="1898"/>
      <c r="AI4" s="1898"/>
      <c r="AJ4" s="1898"/>
    </row>
    <row r="5" spans="1:36" ht="17.25" customHeight="1">
      <c r="A5" s="1411" t="s">
        <v>1323</v>
      </c>
      <c r="C5" s="1898" t="s">
        <v>1428</v>
      </c>
      <c r="D5" s="1898"/>
      <c r="E5" s="1898"/>
      <c r="F5" s="1898"/>
      <c r="G5" s="1898"/>
      <c r="H5" s="1898"/>
      <c r="I5" s="1898"/>
      <c r="J5" s="1898"/>
      <c r="K5" s="1898"/>
      <c r="L5" s="1898"/>
      <c r="M5" s="1898"/>
      <c r="N5" s="1898"/>
      <c r="P5" s="159" t="s">
        <v>60</v>
      </c>
      <c r="Q5" s="1421">
        <v>2</v>
      </c>
      <c r="R5" s="1380" t="s">
        <v>139</v>
      </c>
      <c r="S5" s="164" t="s">
        <v>142</v>
      </c>
      <c r="T5" s="164"/>
      <c r="U5" s="1408"/>
      <c r="V5" s="162"/>
      <c r="Y5" s="1422"/>
      <c r="Z5" s="1422"/>
      <c r="AA5" s="1422"/>
      <c r="AB5" s="1422"/>
      <c r="AC5" s="1422"/>
      <c r="AD5" s="1422"/>
      <c r="AE5" s="1422"/>
      <c r="AF5" s="1422"/>
      <c r="AG5" s="1422"/>
      <c r="AH5" s="1422"/>
      <c r="AI5" s="1422"/>
      <c r="AJ5" s="1422"/>
    </row>
    <row r="6" spans="1:36" ht="17.25" customHeight="1">
      <c r="A6" s="1411"/>
      <c r="B6" s="461"/>
      <c r="C6" s="1898" t="s">
        <v>1407</v>
      </c>
      <c r="D6" s="1898"/>
      <c r="E6" s="1898"/>
      <c r="F6" s="1898"/>
      <c r="G6" s="1898"/>
      <c r="H6" s="1898"/>
      <c r="I6" s="1898"/>
      <c r="J6" s="1898"/>
      <c r="K6" s="1898"/>
      <c r="L6" s="1898"/>
      <c r="M6" s="1898"/>
      <c r="N6" s="1898"/>
      <c r="P6" s="159" t="s">
        <v>62</v>
      </c>
      <c r="Q6" s="1421">
        <v>2</v>
      </c>
      <c r="R6" s="1380" t="s">
        <v>139</v>
      </c>
      <c r="S6" s="164" t="s">
        <v>156</v>
      </c>
      <c r="T6" s="164"/>
      <c r="Y6" s="1898"/>
      <c r="Z6" s="1898"/>
      <c r="AA6" s="1898"/>
      <c r="AB6" s="1898"/>
      <c r="AC6" s="1898"/>
      <c r="AD6" s="1898"/>
      <c r="AE6" s="1898"/>
      <c r="AF6" s="1898"/>
      <c r="AG6" s="1898"/>
      <c r="AH6" s="1898"/>
      <c r="AI6" s="1898"/>
      <c r="AJ6" s="1898"/>
    </row>
    <row r="7" spans="1:36" ht="17.25" customHeight="1">
      <c r="A7" s="1411"/>
      <c r="B7" s="461"/>
      <c r="C7" s="1898" t="s">
        <v>1406</v>
      </c>
      <c r="D7" s="1898"/>
      <c r="E7" s="1898"/>
      <c r="F7" s="1898"/>
      <c r="G7" s="1898"/>
      <c r="H7" s="1898"/>
      <c r="I7" s="1898"/>
      <c r="J7" s="1898"/>
      <c r="K7" s="1898"/>
      <c r="L7" s="1898"/>
      <c r="M7" s="1898"/>
      <c r="N7" s="1898"/>
      <c r="P7" s="1423" t="s">
        <v>64</v>
      </c>
      <c r="Q7" s="1424">
        <v>1.006</v>
      </c>
      <c r="R7" s="1380" t="s">
        <v>139</v>
      </c>
      <c r="S7" s="1425" t="s">
        <v>140</v>
      </c>
      <c r="T7" s="1426"/>
      <c r="V7" s="164"/>
    </row>
    <row r="8" spans="1:36" ht="17.25" customHeight="1">
      <c r="A8" s="1411" t="s">
        <v>305</v>
      </c>
      <c r="B8" s="461"/>
      <c r="C8" s="1427" t="s">
        <v>1408</v>
      </c>
      <c r="D8" s="1415"/>
      <c r="E8" s="1415"/>
      <c r="F8" s="1428"/>
      <c r="I8" s="1429"/>
      <c r="L8" s="1412"/>
      <c r="M8" s="1413"/>
      <c r="N8" s="461"/>
      <c r="R8" s="1380" t="s">
        <v>139</v>
      </c>
      <c r="S8" s="1425" t="s">
        <v>141</v>
      </c>
    </row>
    <row r="9" spans="1:36" ht="17.25" customHeight="1">
      <c r="A9" s="1411" t="s">
        <v>1434</v>
      </c>
      <c r="B9" s="461"/>
      <c r="C9" s="1427" t="s">
        <v>1435</v>
      </c>
      <c r="D9" s="1427"/>
      <c r="E9" s="1415"/>
      <c r="F9" s="1428"/>
      <c r="I9" s="1411" t="s">
        <v>263</v>
      </c>
      <c r="L9" s="1430">
        <f>Sheet3!D2</f>
        <v>0.26800000000000002</v>
      </c>
      <c r="M9" s="461" t="s">
        <v>37</v>
      </c>
      <c r="N9" s="461"/>
      <c r="P9" s="159" t="s">
        <v>143</v>
      </c>
      <c r="Q9" s="1421">
        <v>7</v>
      </c>
      <c r="R9" s="159" t="s">
        <v>59</v>
      </c>
      <c r="S9" s="159" t="s">
        <v>144</v>
      </c>
    </row>
    <row r="10" spans="1:36" ht="17.25" customHeight="1">
      <c r="A10" s="1432"/>
      <c r="C10" s="1412"/>
      <c r="D10" s="1412"/>
      <c r="E10" s="1413"/>
      <c r="F10" s="1433"/>
      <c r="G10" s="1411"/>
      <c r="H10" s="1434"/>
      <c r="I10" s="461"/>
      <c r="J10" s="1411"/>
      <c r="K10" s="461"/>
      <c r="L10" s="1435"/>
      <c r="M10" s="1431"/>
      <c r="N10" s="461"/>
      <c r="P10" s="159" t="s">
        <v>61</v>
      </c>
      <c r="Q10" s="1421">
        <v>0</v>
      </c>
      <c r="R10" s="159" t="s">
        <v>59</v>
      </c>
    </row>
    <row r="11" spans="1:36" ht="17.25" customHeight="1">
      <c r="B11" s="164"/>
      <c r="C11" s="164"/>
      <c r="D11" s="1436"/>
      <c r="E11" s="164"/>
      <c r="F11" s="1895" t="s">
        <v>138</v>
      </c>
      <c r="G11" s="1895"/>
      <c r="H11" s="1895"/>
      <c r="I11" s="164"/>
      <c r="J11" s="1436"/>
      <c r="K11" s="164"/>
      <c r="L11" s="164"/>
      <c r="M11" s="162"/>
      <c r="P11" s="159" t="s">
        <v>63</v>
      </c>
      <c r="Q11" s="1421">
        <v>0</v>
      </c>
      <c r="R11" s="159" t="s">
        <v>59</v>
      </c>
      <c r="T11" s="162"/>
    </row>
    <row r="12" spans="1:36" ht="17.25" customHeight="1">
      <c r="A12" s="1431">
        <v>1</v>
      </c>
      <c r="B12" s="1427" t="s">
        <v>1209</v>
      </c>
      <c r="C12" s="1415"/>
      <c r="D12" s="461"/>
      <c r="E12" s="461" t="s">
        <v>48</v>
      </c>
      <c r="F12" s="1437">
        <v>205.61</v>
      </c>
      <c r="G12" s="1422" t="s">
        <v>3</v>
      </c>
      <c r="H12" s="1431" t="s">
        <v>4</v>
      </c>
      <c r="I12" s="1438">
        <v>193</v>
      </c>
      <c r="J12" s="1431" t="s">
        <v>5</v>
      </c>
      <c r="K12" s="1439">
        <v>421.17</v>
      </c>
      <c r="L12" s="1869" t="s">
        <v>14</v>
      </c>
      <c r="M12" s="1440" t="str">
        <f t="shared" ref="M12:M17" si="0">IF($Q$5=1,"(รถสิบล้อ)","(รถสิบล้อ+ลากพ่วง)")</f>
        <v>(รถสิบล้อ+ลากพ่วง)</v>
      </c>
      <c r="N12" s="461"/>
      <c r="P12" s="159" t="s">
        <v>65</v>
      </c>
      <c r="Q12" s="1421">
        <v>0</v>
      </c>
      <c r="R12" s="159" t="s">
        <v>59</v>
      </c>
    </row>
    <row r="13" spans="1:36" ht="17.25" customHeight="1">
      <c r="A13" s="1431">
        <v>2</v>
      </c>
      <c r="B13" s="1412" t="str">
        <f>B12</f>
        <v>อ.ภูผาม่าน จ.ขอนแก่น</v>
      </c>
      <c r="C13" s="461"/>
      <c r="D13" s="461"/>
      <c r="E13" s="461" t="s">
        <v>57</v>
      </c>
      <c r="F13" s="1437">
        <f>120+65</f>
        <v>185</v>
      </c>
      <c r="G13" s="1422" t="s">
        <v>3</v>
      </c>
      <c r="H13" s="1431" t="s">
        <v>4</v>
      </c>
      <c r="I13" s="1438">
        <f>I12</f>
        <v>193</v>
      </c>
      <c r="J13" s="1431" t="s">
        <v>5</v>
      </c>
      <c r="K13" s="1439">
        <f>K12</f>
        <v>421.17</v>
      </c>
      <c r="L13" s="1869" t="s">
        <v>14</v>
      </c>
      <c r="M13" s="1440" t="str">
        <f t="shared" si="0"/>
        <v>(รถสิบล้อ+ลากพ่วง)</v>
      </c>
      <c r="N13" s="461"/>
      <c r="P13" s="159" t="s">
        <v>66</v>
      </c>
      <c r="Q13" s="1421">
        <v>7</v>
      </c>
      <c r="R13" s="159" t="s">
        <v>59</v>
      </c>
    </row>
    <row r="14" spans="1:36" ht="17.25" customHeight="1">
      <c r="A14" s="1431">
        <v>3</v>
      </c>
      <c r="B14" s="1412" t="str">
        <f>B13</f>
        <v>อ.ภูผาม่าน จ.ขอนแก่น</v>
      </c>
      <c r="C14" s="461"/>
      <c r="D14" s="461"/>
      <c r="E14" s="461" t="s">
        <v>134</v>
      </c>
      <c r="F14" s="1437">
        <f>250+65</f>
        <v>315</v>
      </c>
      <c r="G14" s="1422" t="s">
        <v>3</v>
      </c>
      <c r="H14" s="1431" t="s">
        <v>4</v>
      </c>
      <c r="I14" s="1438">
        <f>I12</f>
        <v>193</v>
      </c>
      <c r="J14" s="1431" t="s">
        <v>5</v>
      </c>
      <c r="K14" s="1439">
        <f>K12</f>
        <v>421.17</v>
      </c>
      <c r="L14" s="1869" t="s">
        <v>14</v>
      </c>
      <c r="M14" s="1440" t="str">
        <f t="shared" si="0"/>
        <v>(รถสิบล้อ+ลากพ่วง)</v>
      </c>
      <c r="N14" s="461"/>
      <c r="P14" s="170" t="s">
        <v>1205</v>
      </c>
      <c r="Q14" s="1441">
        <v>30.5</v>
      </c>
      <c r="R14" s="1442"/>
      <c r="S14" s="165" t="s">
        <v>415</v>
      </c>
      <c r="T14" s="170"/>
    </row>
    <row r="15" spans="1:36" ht="17.25" customHeight="1">
      <c r="A15" s="1431">
        <v>4</v>
      </c>
      <c r="B15" s="1412" t="str">
        <f>B14</f>
        <v>อ.ภูผาม่าน จ.ขอนแก่น</v>
      </c>
      <c r="C15" s="461"/>
      <c r="D15" s="461"/>
      <c r="E15" s="461" t="s">
        <v>135</v>
      </c>
      <c r="F15" s="1437">
        <f>240+65</f>
        <v>305</v>
      </c>
      <c r="G15" s="1422" t="s">
        <v>3</v>
      </c>
      <c r="H15" s="1431" t="s">
        <v>4</v>
      </c>
      <c r="I15" s="1438">
        <f>I12</f>
        <v>193</v>
      </c>
      <c r="J15" s="1431" t="s">
        <v>5</v>
      </c>
      <c r="K15" s="1439">
        <f>K12</f>
        <v>421.17</v>
      </c>
      <c r="L15" s="1869" t="s">
        <v>14</v>
      </c>
      <c r="M15" s="1440" t="str">
        <f t="shared" si="0"/>
        <v>(รถสิบล้อ+ลากพ่วง)</v>
      </c>
      <c r="N15" s="461"/>
      <c r="P15" s="170" t="s">
        <v>1206</v>
      </c>
      <c r="Q15" s="1441">
        <v>30.5</v>
      </c>
      <c r="R15" s="1442"/>
      <c r="S15" s="165" t="s">
        <v>415</v>
      </c>
      <c r="T15" s="170"/>
    </row>
    <row r="16" spans="1:36" ht="17.25" customHeight="1">
      <c r="A16" s="1431">
        <v>5</v>
      </c>
      <c r="B16" s="1412" t="str">
        <f>B15</f>
        <v>อ.ภูผาม่าน จ.ขอนแก่น</v>
      </c>
      <c r="C16" s="461"/>
      <c r="D16" s="461"/>
      <c r="E16" s="461" t="s">
        <v>136</v>
      </c>
      <c r="F16" s="1437">
        <f>220+65</f>
        <v>285</v>
      </c>
      <c r="G16" s="1422" t="s">
        <v>3</v>
      </c>
      <c r="H16" s="1431" t="s">
        <v>4</v>
      </c>
      <c r="I16" s="1438">
        <f>I12</f>
        <v>193</v>
      </c>
      <c r="J16" s="1431" t="s">
        <v>5</v>
      </c>
      <c r="K16" s="1439">
        <f>K12</f>
        <v>421.17</v>
      </c>
      <c r="L16" s="1869" t="s">
        <v>14</v>
      </c>
      <c r="M16" s="1440" t="str">
        <f t="shared" si="0"/>
        <v>(รถสิบล้อ+ลากพ่วง)</v>
      </c>
      <c r="N16" s="461"/>
      <c r="P16" s="1443" t="s">
        <v>67</v>
      </c>
      <c r="Q16" s="1444">
        <v>0</v>
      </c>
      <c r="R16" s="1445">
        <v>0</v>
      </c>
      <c r="S16" s="170" t="s">
        <v>68</v>
      </c>
      <c r="T16" s="1446"/>
    </row>
    <row r="17" spans="1:25" ht="17.25" customHeight="1">
      <c r="A17" s="1431">
        <v>6</v>
      </c>
      <c r="B17" s="1412" t="str">
        <f>B14</f>
        <v>อ.ภูผาม่าน จ.ขอนแก่น</v>
      </c>
      <c r="C17" s="461"/>
      <c r="D17" s="461"/>
      <c r="E17" s="461" t="s">
        <v>137</v>
      </c>
      <c r="F17" s="1447">
        <f>(F12+F13+F14+F15+F16)/5</f>
        <v>259.12200000000001</v>
      </c>
      <c r="G17" s="1422" t="s">
        <v>3</v>
      </c>
      <c r="H17" s="1431" t="s">
        <v>4</v>
      </c>
      <c r="I17" s="1447">
        <f>(I12+I13+I14+I15+I16)/5</f>
        <v>193</v>
      </c>
      <c r="J17" s="1431" t="s">
        <v>5</v>
      </c>
      <c r="K17" s="1439">
        <f>(K12+K13+K14+K15+K16)/5</f>
        <v>421.16999999999996</v>
      </c>
      <c r="L17" s="1869" t="s">
        <v>14</v>
      </c>
      <c r="M17" s="1440" t="str">
        <f t="shared" si="0"/>
        <v>(รถสิบล้อ+ลากพ่วง)</v>
      </c>
      <c r="N17" s="461"/>
      <c r="P17" s="1448"/>
      <c r="Q17" s="1383"/>
      <c r="R17" s="1445">
        <v>1</v>
      </c>
      <c r="S17" s="1381" t="s">
        <v>147</v>
      </c>
      <c r="U17" s="1449"/>
    </row>
    <row r="18" spans="1:25" ht="17.25" customHeight="1">
      <c r="A18" s="1431">
        <v>7</v>
      </c>
      <c r="B18" s="1427" t="str">
        <f>C9</f>
        <v>หมู่ที่ 11 บ้านเพ็กใหญ่พัฒนา  ต.เพ็กใหญ่ อ.พล จ.ขอนแก่น</v>
      </c>
      <c r="C18" s="1415"/>
      <c r="D18" s="461"/>
      <c r="E18" s="461" t="s">
        <v>189</v>
      </c>
      <c r="F18" s="1437">
        <v>0</v>
      </c>
      <c r="G18" s="1422" t="s">
        <v>3</v>
      </c>
      <c r="H18" s="1431" t="s">
        <v>4</v>
      </c>
      <c r="I18" s="1438">
        <v>0</v>
      </c>
      <c r="J18" s="1431" t="s">
        <v>5</v>
      </c>
      <c r="K18" s="1439">
        <v>0</v>
      </c>
      <c r="L18" s="1869" t="s">
        <v>14</v>
      </c>
      <c r="M18" s="1422" t="str">
        <f>IF($R$17=1,"(รถสิบล้อ)","(รถสิบล้อ+ลากพ่วง)")</f>
        <v>(รถสิบล้อ)</v>
      </c>
      <c r="N18" s="461"/>
      <c r="R18" s="1445">
        <v>2</v>
      </c>
      <c r="S18" s="1381" t="s">
        <v>149</v>
      </c>
    </row>
    <row r="19" spans="1:25" ht="17.25" customHeight="1">
      <c r="A19" s="1431">
        <v>8</v>
      </c>
      <c r="B19" s="1412" t="str">
        <f>B18</f>
        <v>หมู่ที่ 11 บ้านเพ็กใหญ่พัฒนา  ต.เพ็กใหญ่ อ.พล จ.ขอนแก่น</v>
      </c>
      <c r="C19" s="461"/>
      <c r="D19" s="461"/>
      <c r="E19" s="461" t="s">
        <v>6</v>
      </c>
      <c r="F19" s="1437">
        <v>0</v>
      </c>
      <c r="G19" s="1422" t="s">
        <v>3</v>
      </c>
      <c r="H19" s="1431" t="s">
        <v>4</v>
      </c>
      <c r="I19" s="1438">
        <v>0</v>
      </c>
      <c r="J19" s="1431" t="s">
        <v>5</v>
      </c>
      <c r="K19" s="1439">
        <v>0</v>
      </c>
      <c r="L19" s="1869" t="s">
        <v>14</v>
      </c>
      <c r="M19" s="1422" t="str">
        <f>IF($R$17=1,"(รถสิบล้อ)","(รถสิบล้อ+ลากพ่วง)")</f>
        <v>(รถสิบล้อ)</v>
      </c>
      <c r="N19" s="461"/>
    </row>
    <row r="20" spans="1:25" ht="17.25" customHeight="1">
      <c r="A20" s="1431">
        <v>9</v>
      </c>
      <c r="B20" s="1412" t="str">
        <f>B18</f>
        <v>หมู่ที่ 11 บ้านเพ็กใหญ่พัฒนา  ต.เพ็กใหญ่ อ.พล จ.ขอนแก่น</v>
      </c>
      <c r="C20" s="461"/>
      <c r="D20" s="461"/>
      <c r="E20" s="461" t="s">
        <v>161</v>
      </c>
      <c r="F20" s="1437">
        <v>0</v>
      </c>
      <c r="G20" s="1422" t="s">
        <v>3</v>
      </c>
      <c r="H20" s="1431" t="s">
        <v>4</v>
      </c>
      <c r="I20" s="1438">
        <v>0</v>
      </c>
      <c r="J20" s="1431" t="s">
        <v>5</v>
      </c>
      <c r="K20" s="1439">
        <v>0</v>
      </c>
      <c r="L20" s="1869" t="s">
        <v>14</v>
      </c>
      <c r="M20" s="1422" t="str">
        <f>IF($R$17=1,"(รถสิบล้อ)","(รถสิบล้อ+ลากพ่วง)")</f>
        <v>(รถสิบล้อ)</v>
      </c>
      <c r="N20" s="461"/>
      <c r="O20" s="1380"/>
      <c r="P20" s="1450" t="s">
        <v>1380</v>
      </c>
      <c r="Q20" s="1442"/>
      <c r="R20" s="1381"/>
    </row>
    <row r="21" spans="1:25" ht="17.25" customHeight="1">
      <c r="A21" s="1431">
        <v>10</v>
      </c>
      <c r="B21" s="1412" t="str">
        <f>IF(W50&lt;W48,"อ.เมือง ของสถานที่ก่อสร้าง","อ.แก่งคอย จ.สระบุรี")</f>
        <v>อ.เมือง ของสถานที่ก่อสร้าง</v>
      </c>
      <c r="C21" s="1412"/>
      <c r="D21" s="461"/>
      <c r="E21" s="461" t="s">
        <v>196</v>
      </c>
      <c r="F21" s="1451">
        <f>Q50</f>
        <v>2859.82</v>
      </c>
      <c r="G21" s="1422" t="s">
        <v>7</v>
      </c>
      <c r="H21" s="1431" t="s">
        <v>4</v>
      </c>
      <c r="I21" s="1452">
        <f>S50</f>
        <v>80</v>
      </c>
      <c r="J21" s="1431" t="s">
        <v>5</v>
      </c>
      <c r="K21" s="1439">
        <f>U50</f>
        <v>125.05</v>
      </c>
      <c r="L21" s="461" t="s">
        <v>8</v>
      </c>
      <c r="M21" s="461" t="str">
        <f>IF($Q$6=1,"(รถสิบล้อ)","(รถสิบล้อ+ลากพ่วง)")</f>
        <v>(รถสิบล้อ+ลากพ่วง)</v>
      </c>
      <c r="N21" s="1431"/>
      <c r="O21" s="169"/>
      <c r="P21" s="1450" t="s">
        <v>1381</v>
      </c>
      <c r="Q21" s="1453"/>
      <c r="R21" s="1442"/>
      <c r="S21" s="164"/>
      <c r="T21" s="164"/>
      <c r="U21" s="164"/>
    </row>
    <row r="22" spans="1:25" ht="17.25" customHeight="1">
      <c r="A22" s="1431">
        <v>11</v>
      </c>
      <c r="B22" s="1412" t="str">
        <f>B25</f>
        <v>อ.สูงเนิน จ.นครราชสีมา</v>
      </c>
      <c r="C22" s="1413"/>
      <c r="D22" s="1413"/>
      <c r="E22" s="1413" t="s">
        <v>131</v>
      </c>
      <c r="F22" s="1454">
        <f>Q34</f>
        <v>27700</v>
      </c>
      <c r="G22" s="1455" t="s">
        <v>7</v>
      </c>
      <c r="H22" s="1431" t="s">
        <v>4</v>
      </c>
      <c r="I22" s="1456">
        <v>146</v>
      </c>
      <c r="J22" s="1431" t="s">
        <v>5</v>
      </c>
      <c r="K22" s="1439">
        <f>T34</f>
        <v>227.71</v>
      </c>
      <c r="L22" s="461" t="s">
        <v>8</v>
      </c>
      <c r="M22" s="461" t="str">
        <f>IF($Q$6=1,"(รถสิบล้อ)","(รถสิบล้อ+ลากพ่วง)")</f>
        <v>(รถสิบล้อ+ลากพ่วง)</v>
      </c>
      <c r="N22" s="1457"/>
      <c r="O22" s="169"/>
      <c r="P22" s="1458" t="s">
        <v>278</v>
      </c>
      <c r="Q22" s="164"/>
      <c r="R22" s="1442"/>
      <c r="S22" s="164"/>
      <c r="T22" s="171"/>
      <c r="U22" s="164"/>
    </row>
    <row r="23" spans="1:25" ht="17.25" customHeight="1">
      <c r="A23" s="1431">
        <v>12</v>
      </c>
      <c r="B23" s="1412" t="str">
        <f>B25</f>
        <v>อ.สูงเนิน จ.นครราชสีมา</v>
      </c>
      <c r="C23" s="1413"/>
      <c r="D23" s="1413"/>
      <c r="E23" s="1413" t="s">
        <v>132</v>
      </c>
      <c r="F23" s="1454">
        <f>Q35</f>
        <v>27000</v>
      </c>
      <c r="G23" s="1455" t="s">
        <v>7</v>
      </c>
      <c r="H23" s="1431" t="s">
        <v>4</v>
      </c>
      <c r="I23" s="1456">
        <f t="shared" ref="I23:I25" si="1">W43</f>
        <v>146</v>
      </c>
      <c r="J23" s="1431" t="s">
        <v>5</v>
      </c>
      <c r="K23" s="1439">
        <f>K22</f>
        <v>227.71</v>
      </c>
      <c r="L23" s="461" t="s">
        <v>8</v>
      </c>
      <c r="M23" s="461" t="str">
        <f>IF($Q$6=1,"(รถสิบล้อ)","(รถสิบล้อ+ลากพ่วง)")</f>
        <v>(รถสิบล้อ+ลากพ่วง)</v>
      </c>
      <c r="N23" s="1457"/>
      <c r="O23" s="169"/>
      <c r="P23" s="1459" t="s">
        <v>1439</v>
      </c>
      <c r="Q23" s="1460"/>
      <c r="R23" s="1461"/>
      <c r="S23" s="1462"/>
      <c r="T23" s="1460"/>
      <c r="U23" s="1463"/>
      <c r="V23" s="1463"/>
    </row>
    <row r="24" spans="1:25" ht="17.25" customHeight="1">
      <c r="A24" s="1431">
        <v>13</v>
      </c>
      <c r="B24" s="1412" t="str">
        <f>B25</f>
        <v>อ.สูงเนิน จ.นครราชสีมา</v>
      </c>
      <c r="C24" s="1413"/>
      <c r="D24" s="1413"/>
      <c r="E24" s="1413" t="s">
        <v>133</v>
      </c>
      <c r="F24" s="1454">
        <f>Q36</f>
        <v>27500</v>
      </c>
      <c r="G24" s="1455" t="s">
        <v>7</v>
      </c>
      <c r="H24" s="1431" t="s">
        <v>4</v>
      </c>
      <c r="I24" s="1456">
        <f t="shared" si="1"/>
        <v>146</v>
      </c>
      <c r="J24" s="1431" t="s">
        <v>5</v>
      </c>
      <c r="K24" s="1439">
        <f>K22</f>
        <v>227.71</v>
      </c>
      <c r="L24" s="461" t="s">
        <v>8</v>
      </c>
      <c r="M24" s="461" t="str">
        <f>IF($Q$6=1,"(รถสิบล้อ)","(รถสิบล้อ+ลากพ่วง)")</f>
        <v>(รถสิบล้อ+ลากพ่วง)</v>
      </c>
      <c r="N24" s="1457"/>
      <c r="O24" s="169"/>
      <c r="P24" s="1464" t="s">
        <v>1382</v>
      </c>
      <c r="Q24" s="1465"/>
      <c r="R24" s="1466"/>
      <c r="S24" s="1463"/>
      <c r="T24" s="1467">
        <v>30.44</v>
      </c>
      <c r="U24" s="1468" t="s">
        <v>39</v>
      </c>
      <c r="V24" s="1463" t="s">
        <v>285</v>
      </c>
      <c r="W24" s="1469">
        <v>433</v>
      </c>
      <c r="X24" s="1380" t="s">
        <v>37</v>
      </c>
    </row>
    <row r="25" spans="1:25" ht="17.25" customHeight="1">
      <c r="A25" s="1431">
        <v>14</v>
      </c>
      <c r="B25" s="1412" t="str">
        <f>IF(W40&gt;W28,"กทม.","อ.สูงเนิน จ.นครราชสีมา")</f>
        <v>อ.สูงเนิน จ.นครราชสีมา</v>
      </c>
      <c r="E25" s="1413" t="s">
        <v>1178</v>
      </c>
      <c r="F25" s="1454">
        <f>Q40</f>
        <v>0</v>
      </c>
      <c r="G25" s="1455" t="s">
        <v>7</v>
      </c>
      <c r="H25" s="1431" t="s">
        <v>4</v>
      </c>
      <c r="I25" s="1456">
        <f t="shared" si="1"/>
        <v>146</v>
      </c>
      <c r="J25" s="1431" t="s">
        <v>5</v>
      </c>
      <c r="K25" s="1439">
        <f>K22</f>
        <v>227.71</v>
      </c>
      <c r="L25" s="461" t="s">
        <v>8</v>
      </c>
      <c r="M25" s="461" t="str">
        <f>IF($Q$6=1,"(รถสิบล้อ)","(รถสิบล้อ+ลากพ่วง)")</f>
        <v>(รถสิบล้อ+ลากพ่วง)</v>
      </c>
      <c r="O25" s="166"/>
      <c r="P25" s="1463" t="s">
        <v>131</v>
      </c>
      <c r="Q25" s="1470">
        <v>27300</v>
      </c>
      <c r="R25" s="1468" t="s">
        <v>422</v>
      </c>
      <c r="S25" s="1468" t="s">
        <v>423</v>
      </c>
      <c r="T25" s="1471">
        <f>W24*1.56</f>
        <v>675.48</v>
      </c>
      <c r="U25" s="1463" t="s">
        <v>273</v>
      </c>
      <c r="V25" s="1472"/>
      <c r="W25" s="1473">
        <f>Q25+T25</f>
        <v>27975.48</v>
      </c>
      <c r="X25" s="1380" t="s">
        <v>7</v>
      </c>
      <c r="Y25" s="1380"/>
    </row>
    <row r="26" spans="1:25" ht="17.25" customHeight="1">
      <c r="F26" s="1474" t="s">
        <v>9</v>
      </c>
      <c r="G26" s="172"/>
      <c r="N26" s="166"/>
      <c r="P26" s="1463" t="s">
        <v>132</v>
      </c>
      <c r="Q26" s="1470">
        <v>27000</v>
      </c>
      <c r="R26" s="1468" t="s">
        <v>422</v>
      </c>
      <c r="S26" s="1468" t="s">
        <v>423</v>
      </c>
      <c r="T26" s="1468">
        <f>T25</f>
        <v>675.48</v>
      </c>
      <c r="U26" s="1463" t="s">
        <v>273</v>
      </c>
      <c r="V26" s="1463"/>
      <c r="W26" s="1473">
        <f>Q26+T26</f>
        <v>27675.48</v>
      </c>
      <c r="X26" s="1380" t="s">
        <v>7</v>
      </c>
      <c r="Y26" s="1380"/>
    </row>
    <row r="27" spans="1:25" ht="17.25" customHeight="1">
      <c r="A27" s="461"/>
      <c r="B27" s="1475" t="s">
        <v>190</v>
      </c>
      <c r="C27" s="1476"/>
      <c r="D27" s="461"/>
      <c r="E27" s="461"/>
      <c r="F27" s="461"/>
      <c r="G27" s="461"/>
      <c r="H27" s="461"/>
      <c r="I27" s="461" t="s">
        <v>1265</v>
      </c>
      <c r="J27" s="461"/>
      <c r="K27" s="461"/>
      <c r="L27" s="461"/>
      <c r="M27" s="461"/>
      <c r="N27" s="461"/>
      <c r="P27" s="1463" t="s">
        <v>133</v>
      </c>
      <c r="Q27" s="1470">
        <v>27100</v>
      </c>
      <c r="R27" s="1468" t="s">
        <v>422</v>
      </c>
      <c r="S27" s="1468" t="s">
        <v>423</v>
      </c>
      <c r="T27" s="1468">
        <f>T25</f>
        <v>675.48</v>
      </c>
      <c r="U27" s="1463" t="s">
        <v>273</v>
      </c>
      <c r="V27" s="1463"/>
      <c r="W27" s="1473">
        <f>Q27+T27</f>
        <v>27775.48</v>
      </c>
      <c r="X27" s="1380" t="s">
        <v>7</v>
      </c>
      <c r="Y27" s="1380"/>
    </row>
    <row r="28" spans="1:25" ht="17.25" customHeight="1">
      <c r="A28" s="461"/>
      <c r="B28" s="1477" t="s">
        <v>116</v>
      </c>
      <c r="C28" s="1477"/>
      <c r="D28" s="461"/>
      <c r="E28" s="461"/>
      <c r="F28" s="461"/>
      <c r="G28" s="461"/>
      <c r="H28" s="461"/>
      <c r="I28" s="461"/>
      <c r="J28" s="1431" t="s">
        <v>10</v>
      </c>
      <c r="K28" s="1478">
        <v>5</v>
      </c>
      <c r="L28" s="461" t="s">
        <v>49</v>
      </c>
      <c r="M28" s="461"/>
      <c r="N28" s="461"/>
      <c r="P28" s="1463" t="s">
        <v>1178</v>
      </c>
      <c r="Q28" s="1470">
        <v>35000</v>
      </c>
      <c r="R28" s="1468" t="s">
        <v>422</v>
      </c>
      <c r="S28" s="1468" t="s">
        <v>423</v>
      </c>
      <c r="T28" s="1468">
        <f>T25</f>
        <v>675.48</v>
      </c>
      <c r="U28" s="1463" t="s">
        <v>273</v>
      </c>
      <c r="V28" s="1463"/>
      <c r="W28" s="1473">
        <f>Q28+T28</f>
        <v>35675.480000000003</v>
      </c>
      <c r="X28" s="1380" t="s">
        <v>7</v>
      </c>
    </row>
    <row r="29" spans="1:25" ht="17.25" customHeight="1">
      <c r="A29" s="461"/>
      <c r="B29" s="1477" t="s">
        <v>117</v>
      </c>
      <c r="C29" s="1477"/>
      <c r="D29" s="461"/>
      <c r="E29" s="1479"/>
      <c r="F29" s="461"/>
      <c r="G29" s="461"/>
      <c r="H29" s="461"/>
      <c r="I29" s="461"/>
      <c r="J29" s="1431" t="s">
        <v>10</v>
      </c>
      <c r="K29" s="1478">
        <v>22.84</v>
      </c>
      <c r="L29" s="461" t="s">
        <v>49</v>
      </c>
      <c r="M29" s="461"/>
      <c r="N29" s="461"/>
      <c r="P29" s="1464" t="s">
        <v>1383</v>
      </c>
      <c r="Q29" s="1480"/>
      <c r="T29" s="1467">
        <v>30.58</v>
      </c>
      <c r="U29" s="1472" t="s">
        <v>39</v>
      </c>
      <c r="V29" s="1468" t="s">
        <v>4</v>
      </c>
      <c r="W29" s="1469">
        <v>447</v>
      </c>
      <c r="X29" s="1380" t="s">
        <v>37</v>
      </c>
    </row>
    <row r="30" spans="1:25" ht="17.25" customHeight="1">
      <c r="A30" s="461"/>
      <c r="B30" s="1477" t="s">
        <v>118</v>
      </c>
      <c r="C30" s="1477"/>
      <c r="D30" s="461"/>
      <c r="E30" s="461"/>
      <c r="F30" s="461"/>
      <c r="G30" s="461"/>
      <c r="H30" s="461"/>
      <c r="I30" s="461"/>
      <c r="J30" s="1431" t="s">
        <v>10</v>
      </c>
      <c r="K30" s="1478">
        <f>+K18</f>
        <v>0</v>
      </c>
      <c r="L30" s="461" t="s">
        <v>49</v>
      </c>
      <c r="M30" s="461"/>
      <c r="N30" s="461"/>
      <c r="P30" s="1463" t="s">
        <v>131</v>
      </c>
      <c r="Q30" s="1481">
        <v>27900</v>
      </c>
      <c r="R30" s="1468" t="s">
        <v>422</v>
      </c>
      <c r="S30" s="1468" t="s">
        <v>423</v>
      </c>
      <c r="T30" s="1471">
        <f>W29*1.56</f>
        <v>697.32</v>
      </c>
      <c r="U30" s="1463" t="s">
        <v>286</v>
      </c>
      <c r="V30" s="1463"/>
      <c r="W30" s="1473">
        <f>Q30-T30</f>
        <v>27202.68</v>
      </c>
      <c r="X30" s="1380" t="s">
        <v>7</v>
      </c>
    </row>
    <row r="31" spans="1:25" ht="17.25" customHeight="1">
      <c r="A31" s="461"/>
      <c r="B31" s="1477" t="s">
        <v>202</v>
      </c>
      <c r="C31" s="461"/>
      <c r="D31" s="461"/>
      <c r="E31" s="461"/>
      <c r="F31" s="461"/>
      <c r="G31" s="461"/>
      <c r="H31" s="461"/>
      <c r="I31" s="461"/>
      <c r="J31" s="1431" t="s">
        <v>10</v>
      </c>
      <c r="K31" s="1482">
        <f>ROUND(SUM(K27:K30),2)</f>
        <v>27.84</v>
      </c>
      <c r="L31" s="461" t="s">
        <v>49</v>
      </c>
      <c r="M31" s="461"/>
      <c r="N31" s="461"/>
      <c r="P31" s="1463" t="s">
        <v>132</v>
      </c>
      <c r="Q31" s="1481">
        <v>32900</v>
      </c>
      <c r="R31" s="1468" t="s">
        <v>422</v>
      </c>
      <c r="S31" s="1468" t="s">
        <v>423</v>
      </c>
      <c r="T31" s="1468">
        <f>T30</f>
        <v>697.32</v>
      </c>
      <c r="U31" s="1463" t="s">
        <v>286</v>
      </c>
      <c r="V31" s="1463"/>
      <c r="W31" s="1473">
        <f>Q31-T31</f>
        <v>32202.68</v>
      </c>
      <c r="X31" s="1380" t="s">
        <v>7</v>
      </c>
    </row>
    <row r="32" spans="1:25" ht="17.25" customHeight="1">
      <c r="A32" s="461"/>
      <c r="B32" s="1477"/>
      <c r="C32" s="461"/>
      <c r="D32" s="461"/>
      <c r="E32" s="461"/>
      <c r="F32" s="1483" t="s">
        <v>197</v>
      </c>
      <c r="G32" s="1416">
        <v>1.6</v>
      </c>
      <c r="H32" s="461"/>
      <c r="I32" s="461"/>
      <c r="J32" s="1431" t="s">
        <v>10</v>
      </c>
      <c r="K32" s="1484">
        <f>ROUND(G32*K31,2)</f>
        <v>44.54</v>
      </c>
      <c r="L32" s="461" t="s">
        <v>53</v>
      </c>
      <c r="M32" s="461"/>
      <c r="N32" s="461"/>
      <c r="P32" s="1463" t="s">
        <v>133</v>
      </c>
      <c r="Q32" s="1481">
        <v>27900</v>
      </c>
      <c r="R32" s="1468" t="s">
        <v>422</v>
      </c>
      <c r="S32" s="1468" t="s">
        <v>423</v>
      </c>
      <c r="T32" s="1468">
        <f>T30</f>
        <v>697.32</v>
      </c>
      <c r="U32" s="1463" t="s">
        <v>286</v>
      </c>
      <c r="V32" s="1463"/>
      <c r="W32" s="1473">
        <f>Q32-T32</f>
        <v>27202.68</v>
      </c>
      <c r="X32" s="1380" t="s">
        <v>7</v>
      </c>
    </row>
    <row r="33" spans="1:24" ht="17.25" customHeight="1">
      <c r="A33" s="461"/>
      <c r="B33" s="1477" t="s">
        <v>119</v>
      </c>
      <c r="C33" s="1477"/>
      <c r="D33" s="461"/>
      <c r="E33" s="461"/>
      <c r="F33" s="461"/>
      <c r="G33" s="461"/>
      <c r="H33" s="461"/>
      <c r="I33" s="461"/>
      <c r="J33" s="1431" t="s">
        <v>10</v>
      </c>
      <c r="K33" s="1478">
        <v>48.19</v>
      </c>
      <c r="L33" s="461" t="s">
        <v>53</v>
      </c>
      <c r="M33" s="461"/>
      <c r="N33" s="461"/>
      <c r="P33" s="461" t="s">
        <v>1384</v>
      </c>
      <c r="Q33" s="1485"/>
      <c r="R33" s="1480"/>
      <c r="S33" s="1464"/>
      <c r="T33" s="1486">
        <v>30.71</v>
      </c>
      <c r="U33" s="1487" t="s">
        <v>39</v>
      </c>
      <c r="V33" s="1488" t="s">
        <v>4</v>
      </c>
      <c r="W33" s="1489">
        <v>146</v>
      </c>
      <c r="X33" s="1431" t="s">
        <v>37</v>
      </c>
    </row>
    <row r="34" spans="1:24" ht="17.25" customHeight="1">
      <c r="A34" s="461"/>
      <c r="B34" s="1477" t="s">
        <v>203</v>
      </c>
      <c r="C34" s="461"/>
      <c r="D34" s="461"/>
      <c r="E34" s="461"/>
      <c r="F34" s="461"/>
      <c r="G34" s="461"/>
      <c r="H34" s="461"/>
      <c r="I34" s="461"/>
      <c r="J34" s="1431" t="s">
        <v>10</v>
      </c>
      <c r="K34" s="1482">
        <f>ROUND(SUM(K32:K33),2)</f>
        <v>92.73</v>
      </c>
      <c r="L34" s="461" t="s">
        <v>53</v>
      </c>
      <c r="M34" s="461"/>
      <c r="N34" s="461"/>
      <c r="P34" s="1464" t="s">
        <v>131</v>
      </c>
      <c r="Q34" s="1490">
        <v>27700</v>
      </c>
      <c r="R34" s="1468" t="s">
        <v>422</v>
      </c>
      <c r="S34" s="1468" t="s">
        <v>423</v>
      </c>
      <c r="T34" s="1491">
        <v>227.71</v>
      </c>
      <c r="U34" s="1464" t="s">
        <v>273</v>
      </c>
      <c r="V34" s="1464"/>
      <c r="W34" s="1492">
        <f>Q34+T34</f>
        <v>27927.71</v>
      </c>
      <c r="X34" s="1431" t="s">
        <v>7</v>
      </c>
    </row>
    <row r="35" spans="1:24" ht="17.25" customHeight="1">
      <c r="A35" s="461"/>
      <c r="B35" s="1475" t="s">
        <v>191</v>
      </c>
      <c r="C35" s="1476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P35" s="1464" t="s">
        <v>132</v>
      </c>
      <c r="Q35" s="1490">
        <v>27000</v>
      </c>
      <c r="R35" s="1468" t="s">
        <v>422</v>
      </c>
      <c r="S35" s="1468" t="s">
        <v>423</v>
      </c>
      <c r="T35" s="1488">
        <f>T34</f>
        <v>227.71</v>
      </c>
      <c r="U35" s="1464" t="s">
        <v>273</v>
      </c>
      <c r="V35" s="1464"/>
      <c r="W35" s="1492">
        <f>Q35+T35</f>
        <v>27227.71</v>
      </c>
      <c r="X35" s="1431" t="s">
        <v>7</v>
      </c>
    </row>
    <row r="36" spans="1:24" ht="17.25" customHeight="1">
      <c r="A36" s="461"/>
      <c r="B36" s="1477" t="s">
        <v>116</v>
      </c>
      <c r="C36" s="1477"/>
      <c r="D36" s="461"/>
      <c r="E36" s="461"/>
      <c r="F36" s="461"/>
      <c r="G36" s="461"/>
      <c r="H36" s="461"/>
      <c r="I36" s="461"/>
      <c r="J36" s="1431" t="s">
        <v>10</v>
      </c>
      <c r="K36" s="1478">
        <f>+F20</f>
        <v>0</v>
      </c>
      <c r="L36" s="461" t="s">
        <v>49</v>
      </c>
      <c r="M36" s="461"/>
      <c r="N36" s="461"/>
      <c r="P36" s="1464" t="s">
        <v>133</v>
      </c>
      <c r="Q36" s="1490">
        <v>27500</v>
      </c>
      <c r="R36" s="1468" t="s">
        <v>422</v>
      </c>
      <c r="S36" s="1468" t="s">
        <v>423</v>
      </c>
      <c r="T36" s="1488">
        <f>T34</f>
        <v>227.71</v>
      </c>
      <c r="U36" s="1464" t="s">
        <v>273</v>
      </c>
      <c r="V36" s="1464"/>
      <c r="W36" s="1492">
        <f>Q36+T36</f>
        <v>27727.71</v>
      </c>
      <c r="X36" s="1431" t="s">
        <v>7</v>
      </c>
    </row>
    <row r="37" spans="1:24" ht="17.25" customHeight="1">
      <c r="A37" s="461"/>
      <c r="B37" s="1477" t="s">
        <v>117</v>
      </c>
      <c r="C37" s="1477"/>
      <c r="D37" s="461"/>
      <c r="E37" s="1479"/>
      <c r="F37" s="461"/>
      <c r="G37" s="461"/>
      <c r="H37" s="461"/>
      <c r="I37" s="461"/>
      <c r="J37" s="1431" t="s">
        <v>10</v>
      </c>
      <c r="K37" s="1478">
        <v>33.590000000000003</v>
      </c>
      <c r="L37" s="461" t="s">
        <v>49</v>
      </c>
      <c r="M37" s="461"/>
      <c r="N37" s="461"/>
      <c r="P37" s="1464" t="s">
        <v>1385</v>
      </c>
      <c r="R37" s="1466"/>
      <c r="T37" s="1467">
        <v>30.44</v>
      </c>
      <c r="U37" s="1468"/>
      <c r="V37" s="1463" t="s">
        <v>285</v>
      </c>
      <c r="W37" s="1469">
        <v>433</v>
      </c>
      <c r="X37" s="1380" t="s">
        <v>37</v>
      </c>
    </row>
    <row r="38" spans="1:24" ht="17.25" customHeight="1">
      <c r="A38" s="461"/>
      <c r="B38" s="1477" t="s">
        <v>118</v>
      </c>
      <c r="C38" s="1477"/>
      <c r="D38" s="461"/>
      <c r="E38" s="461"/>
      <c r="F38" s="461"/>
      <c r="G38" s="461"/>
      <c r="H38" s="461"/>
      <c r="I38" s="461"/>
      <c r="J38" s="1431" t="s">
        <v>10</v>
      </c>
      <c r="K38" s="1478">
        <f>+K20</f>
        <v>0</v>
      </c>
      <c r="L38" s="461" t="s">
        <v>49</v>
      </c>
      <c r="M38" s="461"/>
      <c r="N38" s="461"/>
      <c r="P38" s="1463" t="s">
        <v>1178</v>
      </c>
      <c r="Q38" s="1481">
        <v>0</v>
      </c>
      <c r="R38" s="1468" t="s">
        <v>422</v>
      </c>
      <c r="S38" s="1468" t="s">
        <v>423</v>
      </c>
      <c r="T38" s="1493">
        <f>W37*1.56</f>
        <v>675.48</v>
      </c>
      <c r="U38" s="1463" t="s">
        <v>286</v>
      </c>
      <c r="V38" s="1463"/>
      <c r="W38" s="1473">
        <f>Q38+T38</f>
        <v>675.48</v>
      </c>
      <c r="X38" s="1380" t="s">
        <v>7</v>
      </c>
    </row>
    <row r="39" spans="1:24" ht="17.25" customHeight="1">
      <c r="A39" s="461"/>
      <c r="B39" s="1477" t="s">
        <v>202</v>
      </c>
      <c r="C39" s="461"/>
      <c r="D39" s="461"/>
      <c r="E39" s="461"/>
      <c r="F39" s="461"/>
      <c r="G39" s="461"/>
      <c r="H39" s="461"/>
      <c r="I39" s="461"/>
      <c r="J39" s="1431" t="s">
        <v>10</v>
      </c>
      <c r="K39" s="1482">
        <f>ROUND(SUM(K36:K38),2)</f>
        <v>33.590000000000003</v>
      </c>
      <c r="L39" s="461" t="s">
        <v>49</v>
      </c>
      <c r="M39" s="461"/>
      <c r="N39" s="461"/>
      <c r="P39" s="1464" t="s">
        <v>1386</v>
      </c>
      <c r="Q39" s="1480"/>
      <c r="R39" s="1480"/>
      <c r="S39" s="1464"/>
      <c r="T39" s="1486">
        <v>30.71</v>
      </c>
      <c r="U39" s="1487" t="s">
        <v>39</v>
      </c>
      <c r="V39" s="1488" t="s">
        <v>4</v>
      </c>
      <c r="W39" s="1489">
        <v>146</v>
      </c>
      <c r="X39" s="1431" t="s">
        <v>37</v>
      </c>
    </row>
    <row r="40" spans="1:24" ht="17.25" customHeight="1">
      <c r="A40" s="461"/>
      <c r="B40" s="1477"/>
      <c r="C40" s="461"/>
      <c r="D40" s="461"/>
      <c r="E40" s="461"/>
      <c r="F40" s="1483" t="s">
        <v>197</v>
      </c>
      <c r="G40" s="1416">
        <v>1.6</v>
      </c>
      <c r="H40" s="461"/>
      <c r="I40" s="461"/>
      <c r="J40" s="1431" t="s">
        <v>10</v>
      </c>
      <c r="K40" s="1484">
        <f>ROUND(G40*K39,2)</f>
        <v>53.74</v>
      </c>
      <c r="L40" s="461" t="s">
        <v>53</v>
      </c>
      <c r="M40" s="461"/>
      <c r="N40" s="461"/>
      <c r="P40" s="1464" t="str">
        <f>P38</f>
        <v>ยาง PARA - AC</v>
      </c>
      <c r="Q40" s="1490">
        <v>0</v>
      </c>
      <c r="R40" s="1468" t="s">
        <v>422</v>
      </c>
      <c r="S40" s="1468" t="s">
        <v>423</v>
      </c>
      <c r="T40" s="1494">
        <v>244.79</v>
      </c>
      <c r="U40" s="1464" t="s">
        <v>273</v>
      </c>
      <c r="V40" s="1464"/>
      <c r="W40" s="1492">
        <f>Q40+T40</f>
        <v>244.79</v>
      </c>
      <c r="X40" s="1431" t="s">
        <v>7</v>
      </c>
    </row>
    <row r="41" spans="1:24" ht="17.25" customHeight="1">
      <c r="A41" s="461"/>
      <c r="B41" s="1477" t="s">
        <v>119</v>
      </c>
      <c r="C41" s="1477"/>
      <c r="D41" s="461"/>
      <c r="E41" s="461"/>
      <c r="F41" s="461"/>
      <c r="G41" s="461"/>
      <c r="H41" s="461"/>
      <c r="I41" s="461"/>
      <c r="J41" s="1431" t="s">
        <v>10</v>
      </c>
      <c r="K41" s="1478">
        <v>57.83</v>
      </c>
      <c r="L41" s="461" t="s">
        <v>53</v>
      </c>
      <c r="M41" s="461"/>
      <c r="N41" s="461"/>
      <c r="P41" s="1495" t="s">
        <v>274</v>
      </c>
    </row>
    <row r="42" spans="1:24" ht="17.25" customHeight="1">
      <c r="A42" s="461"/>
      <c r="B42" s="1477" t="s">
        <v>203</v>
      </c>
      <c r="C42" s="461"/>
      <c r="D42" s="461"/>
      <c r="E42" s="461"/>
      <c r="F42" s="461"/>
      <c r="G42" s="461"/>
      <c r="H42" s="461"/>
      <c r="I42" s="461"/>
      <c r="J42" s="1431" t="s">
        <v>10</v>
      </c>
      <c r="K42" s="1482">
        <f>ROUND(SUM(K40:K41),2)</f>
        <v>111.57</v>
      </c>
      <c r="L42" s="461" t="s">
        <v>53</v>
      </c>
      <c r="M42" s="461"/>
      <c r="N42" s="461"/>
      <c r="P42" s="1496" t="s">
        <v>131</v>
      </c>
      <c r="Q42" s="1431" t="s">
        <v>287</v>
      </c>
      <c r="R42" s="1497" t="str">
        <f>IF(W34&gt;W25,"กรณี 1 กทม.","กรณี 3 อ.สูงเนิน")</f>
        <v>กรณี 3 อ.สูงเนิน</v>
      </c>
      <c r="S42" s="1498"/>
      <c r="T42" s="1431" t="s">
        <v>277</v>
      </c>
      <c r="U42" s="1499">
        <f>IF(R42="กรณี 1  กทม.",Q25,Q34)</f>
        <v>27700</v>
      </c>
      <c r="V42" s="1487" t="s">
        <v>288</v>
      </c>
      <c r="W42" s="1500">
        <v>146</v>
      </c>
      <c r="X42" s="1431" t="s">
        <v>7</v>
      </c>
    </row>
    <row r="43" spans="1:24" ht="17.25" customHeight="1">
      <c r="A43" s="461"/>
      <c r="B43" s="1475" t="s">
        <v>192</v>
      </c>
      <c r="C43" s="1476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P43" s="1496" t="s">
        <v>132</v>
      </c>
      <c r="Q43" s="1431" t="s">
        <v>287</v>
      </c>
      <c r="R43" s="1497" t="str">
        <f>IF(W26&lt;W35,"กรณี 1 กทม.","กรณี 3 อ.สูงเนิน")</f>
        <v>กรณี 3 อ.สูงเนิน</v>
      </c>
      <c r="S43" s="1498"/>
      <c r="T43" s="1431" t="s">
        <v>277</v>
      </c>
      <c r="U43" s="1499">
        <f>IF(R43="กรณี 1  กทม.",Q26,Q35)</f>
        <v>27000</v>
      </c>
      <c r="V43" s="1487" t="s">
        <v>288</v>
      </c>
      <c r="W43" s="1500">
        <v>146</v>
      </c>
      <c r="X43" s="1431" t="s">
        <v>7</v>
      </c>
    </row>
    <row r="44" spans="1:24" ht="17.25" customHeight="1">
      <c r="A44" s="461"/>
      <c r="B44" s="1477" t="s">
        <v>116</v>
      </c>
      <c r="C44" s="1477"/>
      <c r="D44" s="461"/>
      <c r="E44" s="461"/>
      <c r="F44" s="461"/>
      <c r="G44" s="461"/>
      <c r="H44" s="461"/>
      <c r="I44" s="461"/>
      <c r="J44" s="1431" t="s">
        <v>10</v>
      </c>
      <c r="K44" s="1478">
        <f>F19</f>
        <v>0</v>
      </c>
      <c r="L44" s="461" t="s">
        <v>49</v>
      </c>
      <c r="M44" s="461"/>
      <c r="N44" s="461"/>
      <c r="P44" s="1496" t="s">
        <v>133</v>
      </c>
      <c r="Q44" s="1431" t="s">
        <v>287</v>
      </c>
      <c r="R44" s="1497" t="str">
        <f>IF(W36&gt;W27,"กรณี 1  กทม.","กรณี 3 อ.สูงเนิน")</f>
        <v>กรณี 3 อ.สูงเนิน</v>
      </c>
      <c r="S44" s="1498"/>
      <c r="T44" s="1431" t="s">
        <v>277</v>
      </c>
      <c r="U44" s="1499">
        <f>IF(R44="กรณี 1  กทม.",Q27,Q36)</f>
        <v>27500</v>
      </c>
      <c r="V44" s="1487" t="s">
        <v>288</v>
      </c>
      <c r="W44" s="1500">
        <v>146</v>
      </c>
      <c r="X44" s="1431" t="s">
        <v>7</v>
      </c>
    </row>
    <row r="45" spans="1:24" ht="17.25" customHeight="1">
      <c r="A45" s="461"/>
      <c r="B45" s="1477" t="s">
        <v>117</v>
      </c>
      <c r="C45" s="1477"/>
      <c r="D45" s="461"/>
      <c r="E45" s="1479"/>
      <c r="F45" s="461"/>
      <c r="G45" s="461"/>
      <c r="H45" s="461"/>
      <c r="I45" s="461"/>
      <c r="J45" s="1431" t="s">
        <v>10</v>
      </c>
      <c r="K45" s="1478">
        <f>K37</f>
        <v>33.590000000000003</v>
      </c>
      <c r="L45" s="461" t="s">
        <v>49</v>
      </c>
      <c r="M45" s="461"/>
      <c r="N45" s="461"/>
      <c r="P45" s="1496" t="s">
        <v>1178</v>
      </c>
      <c r="Q45" s="1431" t="s">
        <v>287</v>
      </c>
      <c r="R45" s="1497" t="str">
        <f>IF(W40&gt;W28,"กรณี 4 ระยอง","กรณี 5 อ.สูงเนิน ถึง หน้างาน")</f>
        <v>กรณี 5 อ.สูงเนิน ถึง หน้างาน</v>
      </c>
      <c r="S45" s="1498"/>
      <c r="T45" s="1431" t="s">
        <v>277</v>
      </c>
      <c r="U45" s="1499">
        <f>IF(R45="กรณี 1  กทม.",Q28,Q40)</f>
        <v>0</v>
      </c>
      <c r="V45" s="1487" t="s">
        <v>288</v>
      </c>
      <c r="W45" s="1500">
        <v>146</v>
      </c>
      <c r="X45" s="1431" t="s">
        <v>7</v>
      </c>
    </row>
    <row r="46" spans="1:24" ht="17.25" customHeight="1">
      <c r="A46" s="461"/>
      <c r="B46" s="1477" t="s">
        <v>118</v>
      </c>
      <c r="C46" s="1477"/>
      <c r="D46" s="461"/>
      <c r="E46" s="461"/>
      <c r="F46" s="461"/>
      <c r="G46" s="461"/>
      <c r="H46" s="461"/>
      <c r="I46" s="461"/>
      <c r="J46" s="1431" t="s">
        <v>10</v>
      </c>
      <c r="K46" s="1478">
        <f>K19</f>
        <v>0</v>
      </c>
      <c r="L46" s="461" t="s">
        <v>49</v>
      </c>
      <c r="M46" s="461"/>
      <c r="N46" s="461"/>
      <c r="P46" s="1495" t="s">
        <v>421</v>
      </c>
      <c r="Q46" s="1480" t="s">
        <v>1207</v>
      </c>
      <c r="R46" s="461"/>
      <c r="S46" s="1495"/>
      <c r="T46" s="1501"/>
      <c r="U46" s="1502">
        <f>T33</f>
        <v>30.71</v>
      </c>
      <c r="V46" s="1487" t="s">
        <v>39</v>
      </c>
      <c r="W46" s="1503"/>
      <c r="X46" s="1431"/>
    </row>
    <row r="47" spans="1:24" ht="17.25" customHeight="1">
      <c r="A47" s="461"/>
      <c r="B47" s="1477" t="s">
        <v>204</v>
      </c>
      <c r="C47" s="461"/>
      <c r="D47" s="461"/>
      <c r="E47" s="461"/>
      <c r="F47" s="461"/>
      <c r="G47" s="461"/>
      <c r="H47" s="461"/>
      <c r="I47" s="461"/>
      <c r="J47" s="1431" t="s">
        <v>10</v>
      </c>
      <c r="K47" s="1482">
        <f>ROUND(SUM(K44:K46),2)</f>
        <v>33.590000000000003</v>
      </c>
      <c r="L47" s="461" t="s">
        <v>49</v>
      </c>
      <c r="M47" s="461"/>
      <c r="N47" s="461"/>
      <c r="P47" s="1504" t="s">
        <v>519</v>
      </c>
      <c r="Q47" s="1505">
        <v>0</v>
      </c>
      <c r="R47" s="1506" t="s">
        <v>525</v>
      </c>
    </row>
    <row r="48" spans="1:24" ht="17.25" customHeight="1">
      <c r="A48" s="461"/>
      <c r="B48" s="1477"/>
      <c r="C48" s="461"/>
      <c r="D48" s="461"/>
      <c r="E48" s="461"/>
      <c r="F48" s="1483" t="s">
        <v>197</v>
      </c>
      <c r="G48" s="1416">
        <v>1.6</v>
      </c>
      <c r="H48" s="461"/>
      <c r="I48" s="461"/>
      <c r="J48" s="1431" t="s">
        <v>10</v>
      </c>
      <c r="K48" s="1484">
        <f>ROUND(G48*K47,2)</f>
        <v>53.74</v>
      </c>
      <c r="L48" s="461" t="s">
        <v>53</v>
      </c>
      <c r="M48" s="461"/>
      <c r="N48" s="461"/>
      <c r="P48" s="1464" t="s">
        <v>526</v>
      </c>
      <c r="Q48" s="1507">
        <v>2684.12</v>
      </c>
      <c r="R48" s="1431" t="s">
        <v>424</v>
      </c>
      <c r="S48" s="1416">
        <v>243</v>
      </c>
      <c r="T48" s="1508" t="s">
        <v>425</v>
      </c>
      <c r="U48" s="1509">
        <f>S48*1.56</f>
        <v>379.08000000000004</v>
      </c>
      <c r="V48" s="1464" t="s">
        <v>426</v>
      </c>
      <c r="W48" s="1510">
        <f>Q48+U48</f>
        <v>3063.2</v>
      </c>
      <c r="X48" s="1431" t="s">
        <v>7</v>
      </c>
    </row>
    <row r="49" spans="1:26" ht="17.25" customHeight="1">
      <c r="A49" s="461"/>
      <c r="B49" s="1477" t="s">
        <v>119</v>
      </c>
      <c r="C49" s="1477"/>
      <c r="D49" s="461"/>
      <c r="E49" s="461"/>
      <c r="F49" s="461"/>
      <c r="G49" s="461"/>
      <c r="H49" s="461"/>
      <c r="I49" s="461"/>
      <c r="J49" s="1431" t="s">
        <v>10</v>
      </c>
      <c r="K49" s="1478">
        <v>57.83</v>
      </c>
      <c r="L49" s="461" t="s">
        <v>53</v>
      </c>
      <c r="M49" s="461"/>
      <c r="N49" s="461"/>
      <c r="P49" s="1476" t="s">
        <v>527</v>
      </c>
      <c r="Q49" s="1511">
        <v>0</v>
      </c>
      <c r="R49" s="1429" t="s">
        <v>528</v>
      </c>
    </row>
    <row r="50" spans="1:26" ht="16.5" customHeight="1">
      <c r="A50" s="461"/>
      <c r="B50" s="1477" t="s">
        <v>203</v>
      </c>
      <c r="C50" s="461"/>
      <c r="D50" s="461"/>
      <c r="E50" s="461"/>
      <c r="F50" s="461"/>
      <c r="G50" s="461"/>
      <c r="H50" s="461"/>
      <c r="I50" s="461"/>
      <c r="J50" s="1431" t="s">
        <v>10</v>
      </c>
      <c r="K50" s="1482">
        <f>ROUND(SUM(K48:K49),2)</f>
        <v>111.57</v>
      </c>
      <c r="L50" s="461" t="s">
        <v>53</v>
      </c>
      <c r="M50" s="461"/>
      <c r="N50" s="461"/>
      <c r="O50" s="1512"/>
      <c r="P50" s="1513" t="s">
        <v>529</v>
      </c>
      <c r="Q50" s="1507">
        <v>2859.82</v>
      </c>
      <c r="R50" s="1431" t="s">
        <v>424</v>
      </c>
      <c r="S50" s="1416">
        <v>80</v>
      </c>
      <c r="T50" s="1508" t="s">
        <v>425</v>
      </c>
      <c r="U50" s="1870">
        <v>125.05</v>
      </c>
      <c r="V50" s="1464" t="s">
        <v>426</v>
      </c>
      <c r="W50" s="1510">
        <f>Q50+U50</f>
        <v>2984.8700000000003</v>
      </c>
      <c r="X50" s="1431" t="s">
        <v>7</v>
      </c>
    </row>
    <row r="51" spans="1:26" ht="16.5" customHeight="1">
      <c r="A51" s="461"/>
      <c r="B51" s="1411" t="s">
        <v>1260</v>
      </c>
      <c r="C51" s="461"/>
      <c r="D51" s="461"/>
      <c r="E51" s="461"/>
      <c r="F51" s="461"/>
      <c r="G51" s="461"/>
      <c r="H51" s="461"/>
      <c r="I51" s="461"/>
      <c r="J51" s="1431"/>
      <c r="K51" s="1514"/>
      <c r="L51" s="461"/>
      <c r="M51" s="461"/>
      <c r="N51" s="1515"/>
      <c r="O51" s="166"/>
      <c r="P51" s="1476" t="s">
        <v>527</v>
      </c>
      <c r="Q51" s="1511">
        <f>Sheet1!C26</f>
        <v>104495.45000000001</v>
      </c>
      <c r="R51" s="1429" t="s">
        <v>528</v>
      </c>
    </row>
    <row r="52" spans="1:26" ht="16.5" customHeight="1">
      <c r="A52" s="461"/>
      <c r="B52" s="461" t="s">
        <v>199</v>
      </c>
      <c r="C52" s="461"/>
      <c r="D52" s="461"/>
      <c r="E52" s="461"/>
      <c r="F52" s="461"/>
      <c r="G52" s="461"/>
      <c r="H52" s="461"/>
      <c r="I52" s="461"/>
      <c r="J52" s="1431" t="s">
        <v>10</v>
      </c>
      <c r="K52" s="1484">
        <f>F12</f>
        <v>205.61</v>
      </c>
      <c r="L52" s="461" t="s">
        <v>49</v>
      </c>
      <c r="M52" s="461"/>
      <c r="N52" s="1516"/>
      <c r="P52" s="1517" t="str">
        <f>IF(Q51&lt;Q49,"ให้คิด ปูนซีเมนต์ จาก อ.เมือง ของสถานที่ก่อสร้าง  ราคา","ให้คิด ปูนซีเมนต์ จากโรงงานที่ จ.สระบุรี  ราคา")</f>
        <v>ให้คิด ปูนซีเมนต์ จากโรงงานที่ จ.สระบุรี  ราคา</v>
      </c>
      <c r="Q52" s="1518"/>
      <c r="R52" s="1519">
        <f>IF(P52="ให้คิด ปูนซีเมนต์ จากโรงงานที่ จ.สระบุรี  ราคา",Q48,Q50)</f>
        <v>2684.12</v>
      </c>
      <c r="S52" s="1520" t="s">
        <v>7</v>
      </c>
      <c r="T52" s="1520" t="s">
        <v>4</v>
      </c>
      <c r="U52" s="1519">
        <f>IF(P52="ให้คิด ปูนซีเมนต์ จากโรงงานที่ จ.สระบุรี  ราคา",S48,S50)</f>
        <v>243</v>
      </c>
      <c r="V52" s="1517" t="s">
        <v>37</v>
      </c>
      <c r="W52" s="461"/>
      <c r="X52" s="461"/>
    </row>
    <row r="53" spans="1:26" ht="16.5" customHeight="1">
      <c r="A53" s="461"/>
      <c r="B53" s="461" t="s">
        <v>118</v>
      </c>
      <c r="C53" s="461"/>
      <c r="D53" s="461"/>
      <c r="E53" s="461"/>
      <c r="F53" s="461"/>
      <c r="G53" s="461"/>
      <c r="H53" s="461"/>
      <c r="I53" s="461"/>
      <c r="J53" s="1431" t="s">
        <v>10</v>
      </c>
      <c r="K53" s="1484">
        <f>K12</f>
        <v>421.17</v>
      </c>
      <c r="L53" s="461" t="s">
        <v>49</v>
      </c>
      <c r="M53" s="461"/>
      <c r="N53" s="461"/>
      <c r="P53" s="163" t="s">
        <v>1440</v>
      </c>
      <c r="Q53" s="1521" t="s">
        <v>1442</v>
      </c>
      <c r="R53" s="1428"/>
      <c r="T53" s="1826" t="s">
        <v>420</v>
      </c>
      <c r="U53" s="1521" t="s">
        <v>1208</v>
      </c>
      <c r="V53" s="1428"/>
    </row>
    <row r="54" spans="1:26" ht="16.5" customHeight="1">
      <c r="A54" s="461"/>
      <c r="B54" s="461" t="s">
        <v>200</v>
      </c>
      <c r="C54" s="461"/>
      <c r="D54" s="461"/>
      <c r="E54" s="461"/>
      <c r="F54" s="461"/>
      <c r="G54" s="461"/>
      <c r="H54" s="461"/>
      <c r="I54" s="461"/>
      <c r="J54" s="1431" t="s">
        <v>10</v>
      </c>
      <c r="K54" s="1482">
        <f>ROUND(SUM(K52:K53),2)</f>
        <v>626.78</v>
      </c>
      <c r="L54" s="461" t="s">
        <v>49</v>
      </c>
      <c r="M54" s="461"/>
      <c r="N54" s="461"/>
      <c r="P54" s="1877" t="s">
        <v>1441</v>
      </c>
      <c r="Q54" s="2129" t="s">
        <v>1403</v>
      </c>
      <c r="R54" s="1415"/>
      <c r="S54" s="1876"/>
      <c r="T54" s="2130" t="s">
        <v>420</v>
      </c>
      <c r="U54" s="2129" t="s">
        <v>972</v>
      </c>
      <c r="V54" s="1428"/>
    </row>
    <row r="55" spans="1:26" ht="16.5" customHeight="1">
      <c r="A55" s="461"/>
      <c r="B55" s="461"/>
      <c r="C55" s="461"/>
      <c r="D55" s="461"/>
      <c r="E55" s="461"/>
      <c r="F55" s="1483" t="s">
        <v>197</v>
      </c>
      <c r="G55" s="1416">
        <v>1</v>
      </c>
      <c r="H55" s="461"/>
      <c r="I55" s="461"/>
      <c r="J55" s="1431" t="s">
        <v>10</v>
      </c>
      <c r="K55" s="1484">
        <f>ROUND(G55*K54,2)</f>
        <v>626.78</v>
      </c>
      <c r="L55" s="461" t="s">
        <v>53</v>
      </c>
      <c r="M55" s="461"/>
      <c r="N55" s="461"/>
      <c r="P55" s="1877" t="s">
        <v>1441</v>
      </c>
      <c r="Q55" s="2129" t="s">
        <v>1443</v>
      </c>
      <c r="R55" s="1415"/>
      <c r="S55" s="1876"/>
      <c r="T55" s="2130" t="s">
        <v>420</v>
      </c>
      <c r="U55" s="2129" t="s">
        <v>1444</v>
      </c>
      <c r="V55" s="1428"/>
    </row>
    <row r="56" spans="1:26" ht="16.5" customHeight="1">
      <c r="A56" s="461"/>
      <c r="B56" s="1477" t="s">
        <v>165</v>
      </c>
      <c r="C56" s="1477"/>
      <c r="D56" s="461"/>
      <c r="E56" s="461"/>
      <c r="F56" s="461"/>
      <c r="G56" s="461"/>
      <c r="H56" s="461"/>
      <c r="I56" s="461"/>
      <c r="J56" s="1431" t="s">
        <v>10</v>
      </c>
      <c r="K56" s="1478">
        <v>25.42</v>
      </c>
      <c r="L56" s="461" t="s">
        <v>53</v>
      </c>
      <c r="M56" s="461"/>
      <c r="N56" s="461"/>
      <c r="O56" s="568"/>
      <c r="P56" s="163"/>
      <c r="Q56" s="1428"/>
      <c r="R56" s="1428"/>
      <c r="T56" s="1382"/>
      <c r="U56" s="1521"/>
      <c r="V56" s="1428"/>
    </row>
    <row r="57" spans="1:26" ht="16.5" customHeight="1">
      <c r="A57" s="461"/>
      <c r="B57" s="1477" t="s">
        <v>119</v>
      </c>
      <c r="C57" s="1477"/>
      <c r="D57" s="461"/>
      <c r="E57" s="461"/>
      <c r="F57" s="461"/>
      <c r="G57" s="461"/>
      <c r="H57" s="461"/>
      <c r="I57" s="461"/>
      <c r="J57" s="1431" t="s">
        <v>10</v>
      </c>
      <c r="K57" s="1478">
        <v>0</v>
      </c>
      <c r="L57" s="461" t="s">
        <v>53</v>
      </c>
      <c r="M57" s="461"/>
      <c r="N57" s="461"/>
      <c r="O57" s="568"/>
      <c r="P57" s="1411" t="s">
        <v>1025</v>
      </c>
      <c r="Q57" s="568"/>
      <c r="R57" s="568"/>
      <c r="S57" s="568"/>
      <c r="T57" s="568"/>
      <c r="U57" s="568"/>
      <c r="V57" s="568"/>
      <c r="W57" s="568"/>
      <c r="X57" s="568"/>
    </row>
    <row r="58" spans="1:26" ht="16.5" customHeight="1">
      <c r="A58" s="461"/>
      <c r="B58" s="1477" t="s">
        <v>205</v>
      </c>
      <c r="C58" s="461"/>
      <c r="D58" s="461"/>
      <c r="E58" s="461"/>
      <c r="F58" s="461"/>
      <c r="G58" s="461"/>
      <c r="H58" s="461"/>
      <c r="I58" s="461"/>
      <c r="J58" s="1431" t="s">
        <v>10</v>
      </c>
      <c r="K58" s="1482">
        <f>ROUND(SUM(K55:K57),2)</f>
        <v>652.20000000000005</v>
      </c>
      <c r="L58" s="461" t="s">
        <v>53</v>
      </c>
      <c r="M58" s="461"/>
      <c r="N58" s="461"/>
      <c r="O58" s="568"/>
      <c r="P58" s="1522" t="s">
        <v>1387</v>
      </c>
      <c r="Q58" s="1523"/>
      <c r="R58" s="1523"/>
      <c r="S58" s="1524"/>
      <c r="T58" s="1525"/>
      <c r="U58" s="1526" t="s">
        <v>10</v>
      </c>
      <c r="V58" s="1527"/>
      <c r="X58" s="1524"/>
      <c r="Y58" s="1528"/>
    </row>
    <row r="59" spans="1:26" ht="16.5" customHeight="1">
      <c r="A59" s="461"/>
      <c r="B59" s="1411" t="s">
        <v>198</v>
      </c>
      <c r="C59" s="461"/>
      <c r="D59" s="1529"/>
      <c r="E59" s="1530"/>
      <c r="F59" s="461"/>
      <c r="G59" s="461"/>
      <c r="H59" s="461"/>
      <c r="I59" s="461"/>
      <c r="J59" s="461"/>
      <c r="K59" s="461"/>
      <c r="L59" s="461"/>
      <c r="M59" s="461"/>
      <c r="N59" s="461"/>
      <c r="O59" s="568"/>
      <c r="P59" s="1525" t="s">
        <v>877</v>
      </c>
      <c r="Q59" s="1525"/>
      <c r="R59" s="1524" t="s">
        <v>10</v>
      </c>
      <c r="S59" s="1531">
        <f>2+(ขนาดท่อ!D6+ขนาดท่อ!E6*2)*1.5</f>
        <v>2.7800000000000002</v>
      </c>
      <c r="T59" s="1525" t="s">
        <v>27</v>
      </c>
      <c r="U59" s="1526" t="s">
        <v>10</v>
      </c>
      <c r="V59" s="1532">
        <f>S59*99</f>
        <v>275.22000000000003</v>
      </c>
      <c r="X59" s="1524" t="s">
        <v>878</v>
      </c>
      <c r="Y59" s="1533"/>
    </row>
    <row r="60" spans="1:26" ht="16.5" customHeight="1">
      <c r="A60" s="461"/>
      <c r="B60" s="461" t="s">
        <v>201</v>
      </c>
      <c r="C60" s="461"/>
      <c r="D60" s="461"/>
      <c r="E60" s="461"/>
      <c r="F60" s="461"/>
      <c r="G60" s="461"/>
      <c r="H60" s="461"/>
      <c r="I60" s="461"/>
      <c r="J60" s="461"/>
      <c r="K60" s="461"/>
      <c r="L60" s="461"/>
      <c r="M60" s="461"/>
      <c r="N60" s="461"/>
      <c r="O60" s="568"/>
      <c r="P60" s="1525" t="s">
        <v>879</v>
      </c>
      <c r="Q60" s="1525"/>
      <c r="R60" s="1525"/>
      <c r="S60" s="1524"/>
      <c r="T60" s="1525"/>
      <c r="U60" s="1526" t="s">
        <v>10</v>
      </c>
      <c r="V60" s="1527">
        <f>380</f>
        <v>380</v>
      </c>
      <c r="X60" s="1524" t="s">
        <v>878</v>
      </c>
      <c r="Y60" s="1533"/>
    </row>
    <row r="61" spans="1:26" ht="16.5" customHeight="1">
      <c r="A61" s="461"/>
      <c r="B61" s="461" t="s">
        <v>12</v>
      </c>
      <c r="C61" s="461"/>
      <c r="D61" s="461"/>
      <c r="E61" s="461"/>
      <c r="F61" s="461"/>
      <c r="G61" s="461"/>
      <c r="H61" s="461"/>
      <c r="I61" s="461"/>
      <c r="J61" s="1431" t="s">
        <v>10</v>
      </c>
      <c r="K61" s="1478">
        <v>10.78</v>
      </c>
      <c r="L61" s="461" t="s">
        <v>11</v>
      </c>
      <c r="M61" s="461"/>
      <c r="N61" s="461"/>
      <c r="O61" s="568"/>
      <c r="P61" s="1525" t="s">
        <v>880</v>
      </c>
      <c r="R61" s="1525"/>
      <c r="S61" s="1524"/>
      <c r="T61" s="1525"/>
      <c r="U61" s="1526" t="s">
        <v>10</v>
      </c>
      <c r="V61" s="1527">
        <f>((Z61*13)+300)/ขนาดท่อ!L6</f>
        <v>44.580624999999998</v>
      </c>
      <c r="X61" s="1524" t="s">
        <v>878</v>
      </c>
      <c r="Y61" s="1533"/>
      <c r="Z61" s="1439">
        <v>86.66</v>
      </c>
    </row>
    <row r="62" spans="1:26" ht="16.5" customHeight="1">
      <c r="A62" s="461"/>
      <c r="B62" s="461" t="s">
        <v>193</v>
      </c>
      <c r="C62" s="461"/>
      <c r="D62" s="461"/>
      <c r="E62" s="461"/>
      <c r="F62" s="1501" t="s">
        <v>416</v>
      </c>
      <c r="G62" s="1534">
        <v>0.1</v>
      </c>
      <c r="H62" s="461" t="s">
        <v>41</v>
      </c>
      <c r="I62" s="461"/>
      <c r="J62" s="1431" t="s">
        <v>10</v>
      </c>
      <c r="K62" s="1478">
        <f>14.77*(G62*10)</f>
        <v>14.77</v>
      </c>
      <c r="L62" s="461" t="s">
        <v>11</v>
      </c>
      <c r="M62" s="461"/>
      <c r="N62" s="461"/>
      <c r="O62" s="568"/>
      <c r="P62" s="1525" t="s">
        <v>881</v>
      </c>
      <c r="Q62" s="1525"/>
      <c r="R62" s="1525"/>
      <c r="S62" s="1524"/>
      <c r="T62" s="1525"/>
      <c r="U62" s="1526" t="s">
        <v>10</v>
      </c>
      <c r="V62" s="1527">
        <f>ขนาดท่อ!M6</f>
        <v>140</v>
      </c>
      <c r="X62" s="1524" t="s">
        <v>878</v>
      </c>
      <c r="Y62" s="1533"/>
    </row>
    <row r="63" spans="1:26" ht="16.5" customHeight="1">
      <c r="A63" s="461"/>
      <c r="B63" s="461" t="s">
        <v>264</v>
      </c>
      <c r="C63" s="461"/>
      <c r="D63" s="461"/>
      <c r="E63" s="461"/>
      <c r="F63" s="1501" t="s">
        <v>416</v>
      </c>
      <c r="G63" s="1534">
        <v>0.1</v>
      </c>
      <c r="H63" s="461" t="s">
        <v>41</v>
      </c>
      <c r="I63" s="461"/>
      <c r="J63" s="1431" t="s">
        <v>10</v>
      </c>
      <c r="K63" s="1478">
        <f>11.44*(G63*10)</f>
        <v>11.44</v>
      </c>
      <c r="L63" s="461" t="s">
        <v>11</v>
      </c>
      <c r="M63" s="461"/>
      <c r="N63" s="461"/>
      <c r="O63" s="568"/>
      <c r="P63" s="1525" t="s">
        <v>882</v>
      </c>
      <c r="Q63" s="1525"/>
      <c r="R63" s="1524" t="s">
        <v>10</v>
      </c>
      <c r="S63" s="1535">
        <f>ขนาดท่อ!N6</f>
        <v>0.18</v>
      </c>
      <c r="T63" s="1525" t="s">
        <v>27</v>
      </c>
      <c r="U63" s="1526" t="s">
        <v>10</v>
      </c>
      <c r="V63" s="1536">
        <f>S63*V102</f>
        <v>515.43540000000007</v>
      </c>
      <c r="X63" s="1524" t="s">
        <v>39</v>
      </c>
      <c r="Y63" s="1528"/>
    </row>
    <row r="64" spans="1:26" ht="16.5" customHeight="1">
      <c r="A64" s="461"/>
      <c r="B64" s="461" t="s">
        <v>206</v>
      </c>
      <c r="C64" s="461"/>
      <c r="D64" s="461"/>
      <c r="E64" s="461"/>
      <c r="F64" s="1501" t="s">
        <v>416</v>
      </c>
      <c r="G64" s="1534">
        <v>0.25</v>
      </c>
      <c r="H64" s="461" t="s">
        <v>41</v>
      </c>
      <c r="I64" s="461"/>
      <c r="J64" s="1431" t="s">
        <v>10</v>
      </c>
      <c r="K64" s="1537">
        <f>K55*G64</f>
        <v>156.69499999999999</v>
      </c>
      <c r="L64" s="461" t="s">
        <v>11</v>
      </c>
      <c r="M64" s="461"/>
      <c r="N64" s="461"/>
      <c r="O64" s="568"/>
      <c r="P64" s="1525"/>
      <c r="Q64" s="1525"/>
      <c r="R64" s="1525"/>
      <c r="S64" s="1524"/>
      <c r="T64" s="1525" t="s">
        <v>883</v>
      </c>
      <c r="U64" s="1526" t="s">
        <v>10</v>
      </c>
      <c r="V64" s="1527">
        <f>SUM(V59:V63)</f>
        <v>1355.2360250000002</v>
      </c>
      <c r="X64" s="1524" t="s">
        <v>39</v>
      </c>
      <c r="Y64" s="1528"/>
    </row>
    <row r="65" spans="1:25" ht="16.5" customHeight="1">
      <c r="A65" s="461"/>
      <c r="B65" s="461" t="s">
        <v>265</v>
      </c>
      <c r="C65" s="461"/>
      <c r="D65" s="461"/>
      <c r="E65" s="461"/>
      <c r="F65" s="1501" t="s">
        <v>416</v>
      </c>
      <c r="G65" s="1538">
        <f>G62</f>
        <v>0.1</v>
      </c>
      <c r="H65" s="461" t="str">
        <f>H62</f>
        <v>ม. )</v>
      </c>
      <c r="I65" s="461"/>
      <c r="J65" s="1431" t="s">
        <v>10</v>
      </c>
      <c r="K65" s="1478">
        <v>25.42</v>
      </c>
      <c r="L65" s="461" t="s">
        <v>11</v>
      </c>
      <c r="M65" s="461"/>
      <c r="N65" s="461"/>
      <c r="O65" s="568"/>
      <c r="P65" s="1539" t="s">
        <v>884</v>
      </c>
      <c r="Q65" s="1525"/>
      <c r="R65" s="1525"/>
      <c r="S65" s="1524"/>
      <c r="T65" s="1525"/>
      <c r="U65" s="1526" t="s">
        <v>10</v>
      </c>
      <c r="V65" s="1540">
        <f>IF(V64=0,0,ROUNDDOWN(V64,-1))</f>
        <v>1350</v>
      </c>
      <c r="X65" s="1524" t="s">
        <v>39</v>
      </c>
      <c r="Y65" s="1528"/>
    </row>
    <row r="66" spans="1:25" ht="16.5" customHeight="1">
      <c r="A66" s="461"/>
      <c r="B66" s="461" t="s">
        <v>419</v>
      </c>
      <c r="C66" s="461"/>
      <c r="D66" s="461"/>
      <c r="E66" s="461"/>
      <c r="F66" s="461"/>
      <c r="G66" s="1538">
        <f>G63</f>
        <v>0.1</v>
      </c>
      <c r="H66" s="461" t="str">
        <f>H63</f>
        <v>ม. )</v>
      </c>
      <c r="I66" s="461"/>
      <c r="J66" s="1431" t="s">
        <v>10</v>
      </c>
      <c r="K66" s="1478">
        <v>10.17</v>
      </c>
      <c r="L66" s="461" t="s">
        <v>11</v>
      </c>
      <c r="M66" s="461"/>
      <c r="N66" s="461"/>
      <c r="O66" s="568"/>
      <c r="P66" s="1522" t="s">
        <v>1388</v>
      </c>
      <c r="Q66" s="1523"/>
      <c r="R66" s="1523"/>
      <c r="S66" s="1524"/>
      <c r="T66" s="1525"/>
      <c r="U66" s="1526" t="s">
        <v>10</v>
      </c>
      <c r="V66" s="1527"/>
      <c r="X66" s="1524"/>
      <c r="Y66" s="1528"/>
    </row>
    <row r="67" spans="1:25" ht="18" customHeight="1">
      <c r="A67" s="461"/>
      <c r="B67" s="461" t="s">
        <v>203</v>
      </c>
      <c r="C67" s="461"/>
      <c r="D67" s="461"/>
      <c r="E67" s="461"/>
      <c r="F67" s="461"/>
      <c r="G67" s="461"/>
      <c r="H67" s="461"/>
      <c r="I67" s="461"/>
      <c r="J67" s="1431" t="s">
        <v>10</v>
      </c>
      <c r="K67" s="1482">
        <f>ROUND(SUM(K61:K66),2)</f>
        <v>229.28</v>
      </c>
      <c r="L67" s="461" t="s">
        <v>11</v>
      </c>
      <c r="M67" s="461"/>
      <c r="N67" s="461"/>
      <c r="O67" s="568"/>
      <c r="P67" s="1525" t="s">
        <v>877</v>
      </c>
      <c r="Q67" s="1525"/>
      <c r="R67" s="1524" t="s">
        <v>10</v>
      </c>
      <c r="S67" s="1531">
        <f>2+(ขนาดท่อ!D8+(ขนาดท่อ!E8*2))*1.5</f>
        <v>3.125</v>
      </c>
      <c r="T67" s="1525" t="s">
        <v>27</v>
      </c>
      <c r="U67" s="1526" t="s">
        <v>10</v>
      </c>
      <c r="V67" s="1532">
        <f>S67*99</f>
        <v>309.375</v>
      </c>
      <c r="X67" s="1524" t="s">
        <v>878</v>
      </c>
      <c r="Y67" s="1533"/>
    </row>
    <row r="68" spans="1:25" ht="16.5" customHeight="1">
      <c r="A68" s="461"/>
      <c r="B68" s="1411" t="s">
        <v>1224</v>
      </c>
      <c r="C68" s="1541"/>
      <c r="D68" s="1541"/>
      <c r="E68" s="461"/>
      <c r="F68" s="461"/>
      <c r="G68" s="461"/>
      <c r="H68" s="461"/>
      <c r="I68" s="461"/>
      <c r="J68" s="1431"/>
      <c r="K68" s="1514"/>
      <c r="L68" s="461"/>
      <c r="M68" s="461"/>
      <c r="N68" s="1515"/>
      <c r="O68" s="568"/>
      <c r="P68" s="1525" t="s">
        <v>879</v>
      </c>
      <c r="Q68" s="1525"/>
      <c r="R68" s="1525"/>
      <c r="S68" s="1524"/>
      <c r="T68" s="1525"/>
      <c r="U68" s="1526" t="s">
        <v>10</v>
      </c>
      <c r="V68" s="1527">
        <f>630</f>
        <v>630</v>
      </c>
      <c r="X68" s="1524" t="s">
        <v>878</v>
      </c>
      <c r="Y68" s="1533"/>
    </row>
    <row r="69" spans="1:25" ht="16.5" customHeight="1">
      <c r="A69" s="461"/>
      <c r="B69" s="461" t="s">
        <v>199</v>
      </c>
      <c r="C69" s="461"/>
      <c r="D69" s="461"/>
      <c r="E69" s="461"/>
      <c r="F69" s="461"/>
      <c r="G69" s="461"/>
      <c r="H69" s="461"/>
      <c r="I69" s="461"/>
      <c r="J69" s="1431" t="s">
        <v>10</v>
      </c>
      <c r="K69" s="1484">
        <f>F12</f>
        <v>205.61</v>
      </c>
      <c r="L69" s="461" t="s">
        <v>49</v>
      </c>
      <c r="M69" s="461"/>
      <c r="N69" s="1516"/>
      <c r="O69" s="568"/>
      <c r="P69" s="1525" t="s">
        <v>880</v>
      </c>
      <c r="Q69" s="1525"/>
      <c r="R69" s="1525"/>
      <c r="S69" s="1524"/>
      <c r="T69" s="1525"/>
      <c r="U69" s="1526" t="s">
        <v>10</v>
      </c>
      <c r="V69" s="1527">
        <f>((Z61*13)+300)/ขนาดท่อ!L8</f>
        <v>59.44083333333333</v>
      </c>
      <c r="X69" s="1524" t="s">
        <v>878</v>
      </c>
      <c r="Y69" s="1533"/>
    </row>
    <row r="70" spans="1:25" ht="16.5" customHeight="1">
      <c r="A70" s="461"/>
      <c r="B70" s="461" t="s">
        <v>118</v>
      </c>
      <c r="C70" s="461"/>
      <c r="D70" s="461"/>
      <c r="E70" s="461"/>
      <c r="F70" s="461"/>
      <c r="G70" s="461"/>
      <c r="H70" s="461"/>
      <c r="I70" s="461"/>
      <c r="J70" s="1431" t="s">
        <v>10</v>
      </c>
      <c r="K70" s="1484">
        <f>K12</f>
        <v>421.17</v>
      </c>
      <c r="L70" s="461" t="s">
        <v>49</v>
      </c>
      <c r="M70" s="461"/>
      <c r="N70" s="461"/>
      <c r="O70" s="568"/>
      <c r="P70" s="1525" t="s">
        <v>881</v>
      </c>
      <c r="Q70" s="1525"/>
      <c r="R70" s="1525"/>
      <c r="S70" s="1524"/>
      <c r="T70" s="1525"/>
      <c r="U70" s="1526" t="s">
        <v>10</v>
      </c>
      <c r="V70" s="1527">
        <f>ขนาดท่อ!M8</f>
        <v>345</v>
      </c>
      <c r="X70" s="1524" t="s">
        <v>878</v>
      </c>
      <c r="Y70" s="1533"/>
    </row>
    <row r="71" spans="1:25" ht="16.5" customHeight="1">
      <c r="A71" s="461"/>
      <c r="B71" s="461" t="s">
        <v>207</v>
      </c>
      <c r="C71" s="461"/>
      <c r="D71" s="461"/>
      <c r="E71" s="461"/>
      <c r="F71" s="461"/>
      <c r="G71" s="461"/>
      <c r="H71" s="461"/>
      <c r="I71" s="461"/>
      <c r="J71" s="1431" t="s">
        <v>10</v>
      </c>
      <c r="K71" s="1482">
        <f>ROUND(SUM(K69:K70),2)</f>
        <v>626.78</v>
      </c>
      <c r="L71" s="461" t="s">
        <v>49</v>
      </c>
      <c r="M71" s="461"/>
      <c r="N71" s="461"/>
      <c r="O71" s="568"/>
      <c r="P71" s="1525" t="s">
        <v>882</v>
      </c>
      <c r="Q71" s="1525"/>
      <c r="R71" s="1524" t="s">
        <v>10</v>
      </c>
      <c r="S71" s="1524">
        <f>ขนาดท่อ!N8</f>
        <v>0.32</v>
      </c>
      <c r="T71" s="1525" t="s">
        <v>27</v>
      </c>
      <c r="U71" s="1526" t="s">
        <v>10</v>
      </c>
      <c r="V71" s="1527">
        <f>+S71*V102</f>
        <v>916.32960000000003</v>
      </c>
      <c r="X71" s="1524" t="s">
        <v>39</v>
      </c>
      <c r="Y71" s="1528"/>
    </row>
    <row r="72" spans="1:25" ht="13.5" customHeight="1">
      <c r="A72" s="461"/>
      <c r="B72" s="1411" t="s">
        <v>225</v>
      </c>
      <c r="C72" s="461"/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568"/>
      <c r="P72" s="1525"/>
      <c r="Q72" s="1525"/>
      <c r="R72" s="1525"/>
      <c r="S72" s="1524"/>
      <c r="T72" s="1525" t="s">
        <v>883</v>
      </c>
      <c r="U72" s="1526" t="s">
        <v>10</v>
      </c>
      <c r="V72" s="1527">
        <f>SUM(V67:V71)</f>
        <v>2260.1454333333331</v>
      </c>
      <c r="X72" s="1524" t="s">
        <v>39</v>
      </c>
      <c r="Y72" s="1528"/>
    </row>
    <row r="73" spans="1:25" ht="16.5" customHeight="1">
      <c r="A73" s="461"/>
      <c r="B73" s="461" t="s">
        <v>208</v>
      </c>
      <c r="C73" s="461"/>
      <c r="D73" s="461"/>
      <c r="E73" s="461"/>
      <c r="F73" s="461"/>
      <c r="G73" s="461"/>
      <c r="H73" s="461"/>
      <c r="I73" s="461"/>
      <c r="J73" s="1431" t="s">
        <v>10</v>
      </c>
      <c r="K73" s="1537">
        <f>K87</f>
        <v>8.25</v>
      </c>
      <c r="L73" s="461" t="s">
        <v>11</v>
      </c>
      <c r="M73" s="461"/>
      <c r="N73" s="461"/>
      <c r="O73" s="568"/>
      <c r="P73" s="1539" t="s">
        <v>886</v>
      </c>
      <c r="Q73" s="1525"/>
      <c r="R73" s="1525"/>
      <c r="S73" s="1524"/>
      <c r="T73" s="1525"/>
      <c r="U73" s="1526" t="s">
        <v>10</v>
      </c>
      <c r="V73" s="1540">
        <f>IF(V72=0,0,ROUNDDOWN(V72,-1))</f>
        <v>2260</v>
      </c>
      <c r="X73" s="1524" t="s">
        <v>39</v>
      </c>
      <c r="Y73" s="1528"/>
    </row>
    <row r="74" spans="1:25" ht="16.5" customHeight="1">
      <c r="A74" s="461"/>
      <c r="B74" s="461" t="s">
        <v>209</v>
      </c>
      <c r="C74" s="461"/>
      <c r="D74" s="461"/>
      <c r="E74" s="1438">
        <v>3</v>
      </c>
      <c r="F74" s="461" t="s">
        <v>260</v>
      </c>
      <c r="G74" s="1431">
        <f>41.667/E74</f>
        <v>13.889000000000001</v>
      </c>
      <c r="H74" s="461" t="s">
        <v>50</v>
      </c>
      <c r="I74" s="461"/>
      <c r="J74" s="1431" t="s">
        <v>10</v>
      </c>
      <c r="K74" s="1537">
        <f>$K$162/G74</f>
        <v>164.64944920440632</v>
      </c>
      <c r="L74" s="461" t="s">
        <v>11</v>
      </c>
      <c r="M74" s="461"/>
      <c r="N74" s="461"/>
      <c r="O74" s="568"/>
      <c r="P74" s="1522" t="s">
        <v>1389</v>
      </c>
      <c r="Q74" s="1525"/>
      <c r="R74" s="1525"/>
      <c r="S74" s="1524"/>
      <c r="T74" s="1525"/>
      <c r="U74" s="1526" t="s">
        <v>10</v>
      </c>
      <c r="V74" s="1527"/>
      <c r="X74" s="1524"/>
      <c r="Y74" s="1528"/>
    </row>
    <row r="75" spans="1:25" ht="16.5" customHeight="1">
      <c r="A75" s="461"/>
      <c r="B75" s="461" t="s">
        <v>207</v>
      </c>
      <c r="C75" s="461"/>
      <c r="D75" s="461"/>
      <c r="E75" s="461"/>
      <c r="F75" s="461"/>
      <c r="G75" s="461"/>
      <c r="H75" s="461"/>
      <c r="I75" s="461"/>
      <c r="J75" s="1431" t="s">
        <v>10</v>
      </c>
      <c r="K75" s="1537">
        <f>SUM(K73:K74)</f>
        <v>172.89944920440632</v>
      </c>
      <c r="L75" s="461" t="s">
        <v>11</v>
      </c>
      <c r="M75" s="461"/>
      <c r="N75" s="461"/>
      <c r="O75" s="568"/>
      <c r="P75" s="1525" t="s">
        <v>877</v>
      </c>
      <c r="Q75" s="1525"/>
      <c r="R75" s="1524" t="s">
        <v>10</v>
      </c>
      <c r="S75" s="1531">
        <f>2+(ขนาดท่อ!D9+(ขนาดท่อ!E9*2))*1.5</f>
        <v>3.4849999999999999</v>
      </c>
      <c r="T75" s="1525" t="s">
        <v>27</v>
      </c>
      <c r="U75" s="1526" t="s">
        <v>10</v>
      </c>
      <c r="V75" s="1532">
        <f>S75*99</f>
        <v>345.01499999999999</v>
      </c>
      <c r="X75" s="1524" t="s">
        <v>878</v>
      </c>
      <c r="Y75" s="1533"/>
    </row>
    <row r="76" spans="1:25" ht="16.5" customHeight="1">
      <c r="A76" s="461"/>
      <c r="B76" s="461" t="s">
        <v>210</v>
      </c>
      <c r="C76" s="461"/>
      <c r="D76" s="461"/>
      <c r="E76" s="461"/>
      <c r="F76" s="461"/>
      <c r="G76" s="461"/>
      <c r="H76" s="461"/>
      <c r="I76" s="461"/>
      <c r="J76" s="1431" t="s">
        <v>10</v>
      </c>
      <c r="K76" s="1542">
        <f>(11.74/5)*4</f>
        <v>9.3919999999999995</v>
      </c>
      <c r="L76" s="461" t="s">
        <v>11</v>
      </c>
      <c r="M76" s="461"/>
      <c r="N76" s="461"/>
      <c r="O76" s="568"/>
      <c r="P76" s="1525" t="s">
        <v>879</v>
      </c>
      <c r="Q76" s="1525"/>
      <c r="R76" s="1525"/>
      <c r="S76" s="1524"/>
      <c r="T76" s="1525"/>
      <c r="U76" s="1526" t="s">
        <v>10</v>
      </c>
      <c r="V76" s="1527">
        <v>1075</v>
      </c>
      <c r="X76" s="1524" t="s">
        <v>878</v>
      </c>
      <c r="Y76" s="1533"/>
    </row>
    <row r="77" spans="1:25" ht="16.5" customHeight="1">
      <c r="A77" s="461"/>
      <c r="B77" s="461" t="s">
        <v>203</v>
      </c>
      <c r="C77" s="461"/>
      <c r="D77" s="461"/>
      <c r="E77" s="461"/>
      <c r="F77" s="461"/>
      <c r="G77" s="461"/>
      <c r="H77" s="461"/>
      <c r="I77" s="461"/>
      <c r="J77" s="1431" t="s">
        <v>10</v>
      </c>
      <c r="K77" s="1482">
        <f>ROUND(SUM(K75:K76),2)</f>
        <v>182.29</v>
      </c>
      <c r="L77" s="461" t="s">
        <v>11</v>
      </c>
      <c r="M77" s="461"/>
      <c r="N77" s="461"/>
      <c r="O77" s="568"/>
      <c r="P77" s="1525" t="s">
        <v>880</v>
      </c>
      <c r="Q77" s="1525"/>
      <c r="R77" s="1525"/>
      <c r="S77" s="1524"/>
      <c r="T77" s="1525"/>
      <c r="U77" s="1526" t="s">
        <v>10</v>
      </c>
      <c r="V77" s="1527">
        <f>((Z61*13)+300)/ขนาดท่อ!L9</f>
        <v>79.254444444444445</v>
      </c>
      <c r="X77" s="1524" t="s">
        <v>878</v>
      </c>
      <c r="Y77" s="1533"/>
    </row>
    <row r="78" spans="1:25" ht="16.5" customHeight="1">
      <c r="A78" s="461"/>
      <c r="B78" s="1411" t="s">
        <v>226</v>
      </c>
      <c r="C78" s="461"/>
      <c r="D78" s="461"/>
      <c r="E78" s="461"/>
      <c r="F78" s="461"/>
      <c r="G78" s="461"/>
      <c r="H78" s="461"/>
      <c r="I78" s="461"/>
      <c r="J78" s="1431"/>
      <c r="K78" s="461"/>
      <c r="L78" s="461"/>
      <c r="M78" s="461"/>
      <c r="N78" s="461"/>
      <c r="O78" s="568"/>
      <c r="P78" s="1525" t="s">
        <v>881</v>
      </c>
      <c r="Q78" s="1525"/>
      <c r="R78" s="1525"/>
      <c r="S78" s="1524"/>
      <c r="T78" s="1525"/>
      <c r="U78" s="1526" t="s">
        <v>10</v>
      </c>
      <c r="V78" s="1527">
        <f>ขนาดท่อ!M9</f>
        <v>421</v>
      </c>
      <c r="X78" s="1524" t="s">
        <v>878</v>
      </c>
      <c r="Y78" s="1533"/>
    </row>
    <row r="79" spans="1:25" ht="16.5" customHeight="1">
      <c r="A79" s="461"/>
      <c r="B79" s="461" t="s">
        <v>211</v>
      </c>
      <c r="C79" s="461"/>
      <c r="D79" s="461"/>
      <c r="E79" s="461"/>
      <c r="F79" s="461"/>
      <c r="G79" s="461"/>
      <c r="H79" s="461"/>
      <c r="I79" s="461"/>
      <c r="J79" s="1431" t="s">
        <v>10</v>
      </c>
      <c r="K79" s="1537">
        <f>F22</f>
        <v>27700</v>
      </c>
      <c r="L79" s="461" t="s">
        <v>8</v>
      </c>
      <c r="M79" s="461"/>
      <c r="N79" s="461"/>
      <c r="O79" s="568"/>
      <c r="P79" s="1525" t="s">
        <v>882</v>
      </c>
      <c r="Q79" s="1525"/>
      <c r="R79" s="1524" t="s">
        <v>10</v>
      </c>
      <c r="S79" s="1535">
        <f>ขนาดท่อ!N9</f>
        <v>0.5</v>
      </c>
      <c r="T79" s="1525" t="s">
        <v>27</v>
      </c>
      <c r="U79" s="1526" t="s">
        <v>10</v>
      </c>
      <c r="V79" s="1536">
        <f>+S79*V102</f>
        <v>1431.7650000000001</v>
      </c>
      <c r="X79" s="1524" t="s">
        <v>39</v>
      </c>
      <c r="Y79" s="1528"/>
    </row>
    <row r="80" spans="1:25" ht="16.5" customHeight="1">
      <c r="A80" s="461"/>
      <c r="B80" s="461" t="s">
        <v>118</v>
      </c>
      <c r="C80" s="461"/>
      <c r="D80" s="461"/>
      <c r="E80" s="461"/>
      <c r="F80" s="461"/>
      <c r="G80" s="461"/>
      <c r="H80" s="461"/>
      <c r="I80" s="461"/>
      <c r="J80" s="1431" t="s">
        <v>10</v>
      </c>
      <c r="K80" s="1543">
        <f>K22</f>
        <v>227.71</v>
      </c>
      <c r="L80" s="461" t="s">
        <v>8</v>
      </c>
      <c r="M80" s="461"/>
      <c r="N80" s="461"/>
      <c r="O80" s="568"/>
      <c r="P80" s="1525"/>
      <c r="Q80" s="1525"/>
      <c r="R80" s="1525"/>
      <c r="S80" s="1524"/>
      <c r="T80" s="1525" t="s">
        <v>883</v>
      </c>
      <c r="U80" s="1526" t="s">
        <v>10</v>
      </c>
      <c r="V80" s="1527">
        <f>SUM(V75:V79)</f>
        <v>3352.0344444444445</v>
      </c>
      <c r="X80" s="1524" t="s">
        <v>39</v>
      </c>
      <c r="Y80" s="1528"/>
    </row>
    <row r="81" spans="1:25" ht="16.5" customHeight="1">
      <c r="A81" s="461"/>
      <c r="B81" s="461" t="s">
        <v>212</v>
      </c>
      <c r="C81" s="461"/>
      <c r="D81" s="461"/>
      <c r="E81" s="461"/>
      <c r="F81" s="461"/>
      <c r="G81" s="461"/>
      <c r="H81" s="461"/>
      <c r="I81" s="461"/>
      <c r="J81" s="1431" t="s">
        <v>10</v>
      </c>
      <c r="K81" s="1482">
        <f>ROUND(SUM(K79:K80),2)</f>
        <v>27927.71</v>
      </c>
      <c r="L81" s="461" t="s">
        <v>8</v>
      </c>
      <c r="M81" s="461"/>
      <c r="N81" s="461"/>
      <c r="O81" s="568"/>
      <c r="P81" s="1539" t="s">
        <v>888</v>
      </c>
      <c r="Q81" s="1525"/>
      <c r="R81" s="1525"/>
      <c r="S81" s="1524"/>
      <c r="T81" s="1525"/>
      <c r="U81" s="1526" t="s">
        <v>10</v>
      </c>
      <c r="V81" s="1540">
        <f>IF(V80=0,0,ROUNDDOWN(V80,-1))</f>
        <v>3350</v>
      </c>
      <c r="X81" s="1524" t="s">
        <v>39</v>
      </c>
      <c r="Y81" s="1528"/>
    </row>
    <row r="82" spans="1:25" ht="16.5" customHeight="1">
      <c r="A82" s="461"/>
      <c r="B82" s="461"/>
      <c r="C82" s="461"/>
      <c r="D82" s="461"/>
      <c r="E82" s="461"/>
      <c r="F82" s="1501" t="s">
        <v>417</v>
      </c>
      <c r="G82" s="1544">
        <v>1</v>
      </c>
      <c r="H82" s="461" t="s">
        <v>418</v>
      </c>
      <c r="I82" s="461"/>
      <c r="J82" s="1431" t="s">
        <v>10</v>
      </c>
      <c r="K82" s="1545">
        <f>ROUND(K81*G82/1000,2)</f>
        <v>27.93</v>
      </c>
      <c r="L82" s="461" t="s">
        <v>11</v>
      </c>
      <c r="M82" s="461"/>
      <c r="N82" s="461"/>
      <c r="O82" s="568"/>
      <c r="P82" s="1522" t="s">
        <v>1390</v>
      </c>
      <c r="Q82" s="1525"/>
      <c r="R82" s="1525"/>
      <c r="S82" s="1524"/>
      <c r="T82" s="1525"/>
      <c r="U82" s="1526" t="s">
        <v>10</v>
      </c>
      <c r="V82" s="1527"/>
      <c r="X82" s="1524"/>
      <c r="Y82" s="1528"/>
    </row>
    <row r="83" spans="1:25" ht="16.5" customHeight="1">
      <c r="A83" s="461"/>
      <c r="B83" s="1413"/>
      <c r="C83" s="1413"/>
      <c r="D83" s="1413"/>
      <c r="E83" s="1413"/>
      <c r="F83" s="1526"/>
      <c r="G83" s="1546"/>
      <c r="H83" s="461"/>
      <c r="I83" s="461"/>
      <c r="J83" s="1431"/>
      <c r="K83" s="1547"/>
      <c r="L83" s="461"/>
      <c r="M83" s="461"/>
      <c r="N83" s="461"/>
      <c r="O83" s="568"/>
      <c r="P83" s="1525" t="s">
        <v>877</v>
      </c>
      <c r="Q83" s="1525"/>
      <c r="R83" s="1524" t="s">
        <v>10</v>
      </c>
      <c r="S83" s="1531">
        <f>2+(ขนาดท่อ!D10+(ขนาดท่อ!E10*2))*1.5</f>
        <v>3.83</v>
      </c>
      <c r="T83" s="1525" t="s">
        <v>27</v>
      </c>
      <c r="U83" s="1526" t="s">
        <v>10</v>
      </c>
      <c r="V83" s="1532">
        <f>S83*99</f>
        <v>379.17</v>
      </c>
      <c r="X83" s="1524" t="s">
        <v>878</v>
      </c>
      <c r="Y83" s="1533"/>
    </row>
    <row r="84" spans="1:25" ht="16.5" customHeight="1">
      <c r="A84" s="461"/>
      <c r="B84" s="1411" t="s">
        <v>1436</v>
      </c>
      <c r="C84" s="461"/>
      <c r="D84" s="461"/>
      <c r="E84" s="461"/>
      <c r="F84" s="461"/>
      <c r="G84" s="461"/>
      <c r="H84" s="461"/>
      <c r="I84" s="461"/>
      <c r="J84" s="1431"/>
      <c r="K84" s="461"/>
      <c r="L84" s="461"/>
      <c r="M84" s="461"/>
      <c r="N84" s="461"/>
      <c r="O84" s="568"/>
      <c r="P84" s="1525" t="s">
        <v>879</v>
      </c>
      <c r="Q84" s="1525"/>
      <c r="R84" s="1525"/>
      <c r="S84" s="1524"/>
      <c r="T84" s="1525"/>
      <c r="U84" s="1526" t="s">
        <v>10</v>
      </c>
      <c r="V84" s="1527">
        <v>1700</v>
      </c>
      <c r="X84" s="1524" t="s">
        <v>878</v>
      </c>
      <c r="Y84" s="1533"/>
    </row>
    <row r="85" spans="1:25" ht="16.5" customHeight="1">
      <c r="A85" s="461"/>
      <c r="B85" s="461" t="s">
        <v>1238</v>
      </c>
      <c r="C85" s="461"/>
      <c r="D85" s="461"/>
      <c r="E85" s="461"/>
      <c r="F85" s="461"/>
      <c r="G85" s="461"/>
      <c r="H85" s="461"/>
      <c r="I85" s="461"/>
      <c r="J85" s="1431" t="s">
        <v>10</v>
      </c>
      <c r="K85" s="1543">
        <f>(F24)</f>
        <v>27500</v>
      </c>
      <c r="L85" s="461" t="s">
        <v>8</v>
      </c>
      <c r="M85" s="461"/>
      <c r="N85" s="461"/>
      <c r="O85" s="568"/>
      <c r="P85" s="1525" t="s">
        <v>880</v>
      </c>
      <c r="Q85" s="1525"/>
      <c r="R85" s="1525"/>
      <c r="S85" s="1524"/>
      <c r="T85" s="1525"/>
      <c r="U85" s="1526" t="s">
        <v>10</v>
      </c>
      <c r="V85" s="1527">
        <f>((Z61*13)+300)/ขนาดท่อ!L10</f>
        <v>142.65799999999999</v>
      </c>
      <c r="X85" s="1524" t="s">
        <v>878</v>
      </c>
      <c r="Y85" s="1533"/>
    </row>
    <row r="86" spans="1:25" ht="16.5" customHeight="1">
      <c r="A86" s="461"/>
      <c r="B86" s="461" t="s">
        <v>1237</v>
      </c>
      <c r="C86" s="461"/>
      <c r="D86" s="461"/>
      <c r="E86" s="461"/>
      <c r="F86" s="461"/>
      <c r="G86" s="461"/>
      <c r="H86" s="461"/>
      <c r="I86" s="461"/>
      <c r="J86" s="1431" t="s">
        <v>10</v>
      </c>
      <c r="K86" s="1548">
        <v>7.05</v>
      </c>
      <c r="L86" s="461" t="s">
        <v>11</v>
      </c>
      <c r="M86" s="461"/>
      <c r="N86" s="461"/>
      <c r="O86" s="568"/>
      <c r="P86" s="1525" t="s">
        <v>881</v>
      </c>
      <c r="Q86" s="1525"/>
      <c r="R86" s="1525"/>
      <c r="S86" s="1524"/>
      <c r="T86" s="1525"/>
      <c r="U86" s="1526" t="s">
        <v>10</v>
      </c>
      <c r="V86" s="1527">
        <f>ขนาดท่อ!M10</f>
        <v>510</v>
      </c>
      <c r="X86" s="1524" t="s">
        <v>878</v>
      </c>
      <c r="Y86" s="1533"/>
    </row>
    <row r="87" spans="1:25" ht="16.5" customHeight="1">
      <c r="A87" s="461"/>
      <c r="B87" s="461"/>
      <c r="C87" s="461"/>
      <c r="D87" s="461"/>
      <c r="E87" s="461"/>
      <c r="F87" s="1501" t="s">
        <v>1274</v>
      </c>
      <c r="G87" s="1544">
        <v>0.3</v>
      </c>
      <c r="H87" s="461" t="s">
        <v>418</v>
      </c>
      <c r="I87" s="461"/>
      <c r="J87" s="1431" t="s">
        <v>10</v>
      </c>
      <c r="K87" s="1547">
        <f>ROUND(K85*G87/1000,2)</f>
        <v>8.25</v>
      </c>
      <c r="L87" s="461" t="s">
        <v>11</v>
      </c>
      <c r="M87" s="461"/>
      <c r="N87" s="461"/>
      <c r="O87" s="568"/>
      <c r="P87" s="1525" t="s">
        <v>882</v>
      </c>
      <c r="Q87" s="1525"/>
      <c r="R87" s="1524" t="s">
        <v>10</v>
      </c>
      <c r="S87" s="1535">
        <f>ขนาดท่อ!N10</f>
        <v>0.75</v>
      </c>
      <c r="T87" s="1525" t="s">
        <v>27</v>
      </c>
      <c r="U87" s="1526" t="s">
        <v>10</v>
      </c>
      <c r="V87" s="1536">
        <f>+S87*V102</f>
        <v>2147.6475</v>
      </c>
      <c r="X87" s="1524" t="s">
        <v>39</v>
      </c>
      <c r="Y87" s="1528"/>
    </row>
    <row r="88" spans="1:25" ht="16.5" customHeight="1">
      <c r="A88" s="461"/>
      <c r="B88" s="461" t="s">
        <v>1226</v>
      </c>
      <c r="C88" s="461"/>
      <c r="D88" s="461"/>
      <c r="E88" s="461"/>
      <c r="F88" s="1501"/>
      <c r="G88" s="1546"/>
      <c r="H88" s="461"/>
      <c r="I88" s="461"/>
      <c r="J88" s="1431" t="s">
        <v>10</v>
      </c>
      <c r="K88" s="1549">
        <f>K87+K86</f>
        <v>15.3</v>
      </c>
      <c r="L88" s="461" t="s">
        <v>11</v>
      </c>
      <c r="M88" s="461"/>
      <c r="N88" s="461"/>
      <c r="O88" s="568"/>
      <c r="P88" s="1525"/>
      <c r="Q88" s="1525"/>
      <c r="R88" s="1525"/>
      <c r="S88" s="1524"/>
      <c r="T88" s="1525" t="s">
        <v>883</v>
      </c>
      <c r="U88" s="1526" t="s">
        <v>10</v>
      </c>
      <c r="V88" s="1527">
        <f>SUM(V83:V87)</f>
        <v>4879.4755000000005</v>
      </c>
      <c r="X88" s="1524" t="s">
        <v>39</v>
      </c>
      <c r="Y88" s="1528"/>
    </row>
    <row r="89" spans="1:25" ht="16.5" customHeight="1">
      <c r="A89" s="461"/>
      <c r="B89" s="1475" t="s">
        <v>1319</v>
      </c>
      <c r="C89" s="1476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568"/>
      <c r="P89" s="1539" t="s">
        <v>890</v>
      </c>
      <c r="Q89" s="1525"/>
      <c r="R89" s="1525"/>
      <c r="S89" s="1524"/>
      <c r="T89" s="1525"/>
      <c r="U89" s="1526" t="s">
        <v>10</v>
      </c>
      <c r="V89" s="1540">
        <f>IF(V88=0,0,ROUNDDOWN(V88,-1))</f>
        <v>4870</v>
      </c>
      <c r="X89" s="1524" t="s">
        <v>39</v>
      </c>
      <c r="Y89" s="1528"/>
    </row>
    <row r="90" spans="1:25" ht="16.5" customHeight="1">
      <c r="A90" s="461"/>
      <c r="B90" s="1550" t="s">
        <v>1261</v>
      </c>
      <c r="C90" s="1476"/>
      <c r="D90" s="461"/>
      <c r="E90" s="461"/>
      <c r="F90" s="461"/>
      <c r="G90" s="461"/>
      <c r="H90" s="461"/>
      <c r="I90" s="461"/>
      <c r="J90" s="1431" t="s">
        <v>10</v>
      </c>
      <c r="K90" s="1547" t="s">
        <v>1262</v>
      </c>
      <c r="L90" s="1413"/>
      <c r="M90" s="461"/>
      <c r="N90" s="461"/>
      <c r="O90" s="568"/>
      <c r="P90" s="568"/>
      <c r="Q90" s="568"/>
      <c r="R90" s="568"/>
      <c r="S90" s="568"/>
      <c r="T90" s="568"/>
      <c r="U90" s="568"/>
      <c r="V90" s="568"/>
      <c r="W90" s="568"/>
      <c r="X90" s="568"/>
    </row>
    <row r="91" spans="1:25" ht="16.5" customHeight="1">
      <c r="A91" s="461"/>
      <c r="B91" s="1550" t="s">
        <v>1240</v>
      </c>
      <c r="C91" s="1476"/>
      <c r="D91" s="461"/>
      <c r="E91" s="461"/>
      <c r="F91" s="461"/>
      <c r="G91" s="461"/>
      <c r="H91" s="461"/>
      <c r="I91" s="461"/>
      <c r="J91" s="1431"/>
      <c r="K91" s="1547"/>
      <c r="L91" s="1413"/>
      <c r="M91" s="461"/>
      <c r="N91" s="461"/>
      <c r="O91" s="568"/>
      <c r="P91" s="159" t="s">
        <v>1157</v>
      </c>
      <c r="Q91" s="1421">
        <v>1</v>
      </c>
      <c r="R91" s="1380" t="s">
        <v>139</v>
      </c>
      <c r="S91" s="164" t="s">
        <v>142</v>
      </c>
      <c r="T91" s="164"/>
      <c r="U91" s="1408"/>
      <c r="V91" s="162"/>
      <c r="X91" s="1551"/>
    </row>
    <row r="92" spans="1:25" ht="16.5" customHeight="1">
      <c r="A92" s="461"/>
      <c r="B92" s="1550" t="s">
        <v>1239</v>
      </c>
      <c r="C92" s="1476"/>
      <c r="D92" s="461"/>
      <c r="E92" s="461"/>
      <c r="F92" s="461"/>
      <c r="G92" s="461"/>
      <c r="H92" s="461"/>
      <c r="I92" s="461"/>
      <c r="J92" s="1431"/>
      <c r="K92" s="1547"/>
      <c r="L92" s="1413"/>
      <c r="M92" s="461"/>
      <c r="N92" s="461"/>
      <c r="O92" s="568"/>
      <c r="P92" s="159" t="s">
        <v>60</v>
      </c>
      <c r="Q92" s="1421">
        <v>2</v>
      </c>
      <c r="R92" s="1380" t="s">
        <v>139</v>
      </c>
      <c r="S92" s="164" t="s">
        <v>156</v>
      </c>
      <c r="T92" s="164"/>
      <c r="U92" s="1408"/>
      <c r="V92" s="162"/>
      <c r="X92" s="1551"/>
    </row>
    <row r="93" spans="1:25" ht="16.5" customHeight="1">
      <c r="A93" s="461"/>
      <c r="B93" s="1550" t="s">
        <v>1271</v>
      </c>
      <c r="C93" s="1476"/>
      <c r="D93" s="461"/>
      <c r="E93" s="461"/>
      <c r="F93" s="461"/>
      <c r="G93" s="461"/>
      <c r="H93" s="461"/>
      <c r="I93" s="461"/>
      <c r="J93" s="1431"/>
      <c r="K93" s="1547"/>
      <c r="L93" s="1413"/>
      <c r="M93" s="461"/>
      <c r="N93" s="461"/>
      <c r="O93" s="568"/>
      <c r="X93" s="1551"/>
    </row>
    <row r="94" spans="1:25" ht="16.5" customHeight="1">
      <c r="A94" s="461"/>
      <c r="B94" s="1550" t="s">
        <v>1241</v>
      </c>
      <c r="C94" s="1476"/>
      <c r="D94" s="461"/>
      <c r="E94" s="461"/>
      <c r="F94" s="461"/>
      <c r="G94" s="461"/>
      <c r="H94" s="461"/>
      <c r="I94" s="461"/>
      <c r="J94" s="1431" t="s">
        <v>10</v>
      </c>
      <c r="K94" s="1547" t="s">
        <v>1227</v>
      </c>
      <c r="L94" s="1413"/>
      <c r="M94" s="461"/>
      <c r="N94" s="461"/>
      <c r="O94" s="568"/>
      <c r="P94" s="1525" t="s">
        <v>1041</v>
      </c>
      <c r="Q94" s="1552">
        <v>504.68</v>
      </c>
      <c r="R94" s="1553" t="s">
        <v>1043</v>
      </c>
      <c r="S94" s="1524">
        <f>S50</f>
        <v>80</v>
      </c>
      <c r="T94" s="1554" t="s">
        <v>37</v>
      </c>
      <c r="U94" s="1555">
        <v>205.52</v>
      </c>
      <c r="V94" s="1556" t="s">
        <v>1044</v>
      </c>
      <c r="W94" s="1551">
        <v>1</v>
      </c>
    </row>
    <row r="95" spans="1:25" ht="16.5" customHeight="1">
      <c r="A95" s="461"/>
      <c r="B95" s="1550"/>
      <c r="C95" s="1477" t="s">
        <v>1228</v>
      </c>
      <c r="D95" s="1477"/>
      <c r="E95" s="461"/>
      <c r="F95" s="461"/>
      <c r="G95" s="1557"/>
      <c r="H95" s="461"/>
      <c r="I95" s="461"/>
      <c r="J95" s="1431" t="s">
        <v>10</v>
      </c>
      <c r="K95" s="1548">
        <f>(50.25/3)*2</f>
        <v>33.5</v>
      </c>
      <c r="L95" s="461" t="s">
        <v>11</v>
      </c>
      <c r="M95" s="461"/>
      <c r="N95" s="461"/>
      <c r="O95" s="568"/>
      <c r="P95" s="1525" t="s">
        <v>1042</v>
      </c>
      <c r="Q95" s="1552">
        <v>523.37</v>
      </c>
      <c r="R95" s="1553" t="s">
        <v>1043</v>
      </c>
      <c r="S95" s="1524">
        <f>S50</f>
        <v>80</v>
      </c>
      <c r="T95" s="1554" t="s">
        <v>37</v>
      </c>
      <c r="U95" s="1555">
        <f>U94</f>
        <v>205.52</v>
      </c>
      <c r="V95" s="1556" t="s">
        <v>1044</v>
      </c>
      <c r="W95" s="1551"/>
    </row>
    <row r="96" spans="1:25" ht="16.5" customHeight="1">
      <c r="A96" s="461"/>
      <c r="B96" s="1550"/>
      <c r="C96" s="1477" t="s">
        <v>1229</v>
      </c>
      <c r="D96" s="1477"/>
      <c r="E96" s="461"/>
      <c r="F96" s="461"/>
      <c r="G96" s="1557"/>
      <c r="H96" s="461"/>
      <c r="I96" s="461"/>
      <c r="J96" s="1431" t="s">
        <v>10</v>
      </c>
      <c r="K96" s="1558">
        <v>194.52</v>
      </c>
      <c r="L96" s="461" t="s">
        <v>1230</v>
      </c>
      <c r="M96" s="461"/>
      <c r="N96" s="461"/>
      <c r="O96" s="568"/>
      <c r="P96" s="461" t="s">
        <v>1046</v>
      </c>
      <c r="Q96" s="1552">
        <v>280.37</v>
      </c>
      <c r="R96" s="1553" t="s">
        <v>1043</v>
      </c>
      <c r="S96" s="461">
        <f>I12</f>
        <v>193</v>
      </c>
      <c r="T96" s="1554" t="s">
        <v>37</v>
      </c>
      <c r="U96" s="1559">
        <f>K12</f>
        <v>421.17</v>
      </c>
      <c r="V96" s="1556" t="s">
        <v>1047</v>
      </c>
      <c r="W96" s="1551"/>
    </row>
    <row r="97" spans="1:24" ht="16.5" customHeight="1">
      <c r="A97" s="461"/>
      <c r="B97" s="1550"/>
      <c r="C97" s="1477" t="s">
        <v>1331</v>
      </c>
      <c r="D97" s="1530">
        <f>S50</f>
        <v>80</v>
      </c>
      <c r="E97" s="461" t="s">
        <v>37</v>
      </c>
      <c r="F97" s="461"/>
      <c r="G97" s="1557"/>
      <c r="H97" s="461"/>
      <c r="I97" s="461"/>
      <c r="J97" s="1431" t="s">
        <v>10</v>
      </c>
      <c r="K97" s="1558">
        <f>U50/1000</f>
        <v>0.12504999999999999</v>
      </c>
      <c r="L97" s="461" t="s">
        <v>1230</v>
      </c>
      <c r="M97" s="461"/>
      <c r="N97" s="461"/>
      <c r="O97" s="568"/>
      <c r="P97" s="1525" t="s">
        <v>665</v>
      </c>
      <c r="Q97" s="1552">
        <f>Q50</f>
        <v>2859.82</v>
      </c>
      <c r="R97" s="1553" t="s">
        <v>1045</v>
      </c>
      <c r="S97" s="1524">
        <f>S50</f>
        <v>80</v>
      </c>
      <c r="T97" s="1554" t="s">
        <v>37</v>
      </c>
      <c r="U97" s="1555">
        <f>U94</f>
        <v>205.52</v>
      </c>
      <c r="V97" s="1556" t="s">
        <v>1048</v>
      </c>
    </row>
    <row r="98" spans="1:24" ht="18.75" customHeight="1">
      <c r="A98" s="461"/>
      <c r="B98" s="1550"/>
      <c r="C98" s="1477" t="s">
        <v>1332</v>
      </c>
      <c r="D98" s="1560"/>
      <c r="E98" s="1560"/>
      <c r="F98" s="461"/>
      <c r="G98" s="461"/>
      <c r="H98" s="461"/>
      <c r="I98" s="461"/>
      <c r="J98" s="1431" t="s">
        <v>10</v>
      </c>
      <c r="K98" s="1547">
        <f>K96+K97</f>
        <v>194.64505</v>
      </c>
      <c r="L98" s="461" t="s">
        <v>1230</v>
      </c>
      <c r="M98" s="461"/>
      <c r="N98" s="461"/>
      <c r="O98" s="568"/>
      <c r="P98" s="1525" t="s">
        <v>832</v>
      </c>
      <c r="Q98" s="1525"/>
      <c r="R98" s="1525"/>
      <c r="S98" s="1524"/>
      <c r="T98" s="1525"/>
      <c r="U98" s="1526" t="s">
        <v>10</v>
      </c>
      <c r="V98" s="1527">
        <f>Q94+U94</f>
        <v>710.2</v>
      </c>
      <c r="W98" s="1524" t="s">
        <v>3</v>
      </c>
    </row>
    <row r="99" spans="1:24" ht="20.25" customHeight="1">
      <c r="A99" s="461"/>
      <c r="B99" s="1550"/>
      <c r="C99" s="1477" t="s">
        <v>1333</v>
      </c>
      <c r="D99" s="1477"/>
      <c r="E99" s="461"/>
      <c r="F99" s="461"/>
      <c r="G99" s="1557"/>
      <c r="H99" s="461"/>
      <c r="I99" s="461"/>
      <c r="J99" s="1431" t="s">
        <v>10</v>
      </c>
      <c r="K99" s="1548">
        <f>(11.36/5)*2</f>
        <v>4.5439999999999996</v>
      </c>
      <c r="L99" s="461" t="s">
        <v>11</v>
      </c>
      <c r="M99" s="461"/>
      <c r="N99" s="461"/>
      <c r="O99" s="568"/>
      <c r="P99" s="1525" t="s">
        <v>833</v>
      </c>
      <c r="Q99" s="1525"/>
      <c r="R99" s="1525"/>
      <c r="S99" s="1524"/>
      <c r="T99" s="1525"/>
      <c r="U99" s="1526" t="s">
        <v>10</v>
      </c>
      <c r="V99" s="1527">
        <f>Q95+U95</f>
        <v>728.89</v>
      </c>
      <c r="W99" s="1524" t="s">
        <v>3</v>
      </c>
    </row>
    <row r="100" spans="1:24">
      <c r="A100" s="461"/>
      <c r="B100" s="1550"/>
      <c r="C100" s="461" t="s">
        <v>1334</v>
      </c>
      <c r="D100" s="461"/>
      <c r="E100" s="461"/>
      <c r="F100" s="461"/>
      <c r="G100" s="461"/>
      <c r="H100" s="461"/>
      <c r="I100" s="461"/>
      <c r="J100" s="1431" t="s">
        <v>10</v>
      </c>
      <c r="K100" s="1549">
        <f>K95+(0.222*K98)-K99</f>
        <v>72.1672011</v>
      </c>
      <c r="L100" s="461" t="s">
        <v>11</v>
      </c>
      <c r="M100" s="461"/>
      <c r="N100" s="461"/>
      <c r="O100" s="568"/>
      <c r="P100" s="1525" t="s">
        <v>834</v>
      </c>
      <c r="Q100" s="1525"/>
      <c r="R100" s="1525"/>
      <c r="S100" s="1524"/>
      <c r="T100" s="1525"/>
      <c r="U100" s="1526" t="s">
        <v>10</v>
      </c>
      <c r="V100" s="1527">
        <f>Q96+U96</f>
        <v>701.54</v>
      </c>
      <c r="W100" s="1524" t="s">
        <v>3</v>
      </c>
    </row>
    <row r="101" spans="1:24">
      <c r="A101" s="461"/>
      <c r="M101" s="461"/>
      <c r="N101" s="461"/>
      <c r="O101" s="568"/>
      <c r="P101" s="1525" t="s">
        <v>835</v>
      </c>
      <c r="Q101" s="1525"/>
      <c r="R101" s="1525"/>
      <c r="S101" s="1524"/>
      <c r="T101" s="1525"/>
      <c r="U101" s="1526" t="s">
        <v>10</v>
      </c>
      <c r="V101" s="1527">
        <f>Q97+U97</f>
        <v>3065.34</v>
      </c>
      <c r="W101" s="1524" t="s">
        <v>7</v>
      </c>
      <c r="X101" s="568"/>
    </row>
    <row r="102" spans="1:24">
      <c r="A102" s="461"/>
      <c r="B102" s="1550" t="s">
        <v>1232</v>
      </c>
      <c r="C102" s="461"/>
      <c r="D102" s="1477"/>
      <c r="E102" s="461"/>
      <c r="F102" s="461"/>
      <c r="G102" s="461"/>
      <c r="H102" s="461"/>
      <c r="I102" s="1431"/>
      <c r="J102" s="1431" t="s">
        <v>10</v>
      </c>
      <c r="K102" s="1561">
        <v>1.4E-2</v>
      </c>
      <c r="L102" s="461" t="s">
        <v>194</v>
      </c>
      <c r="M102" s="461"/>
      <c r="N102" s="461"/>
      <c r="O102" s="568"/>
      <c r="P102" s="1562" t="s">
        <v>1049</v>
      </c>
      <c r="Q102" s="1562"/>
      <c r="R102" s="1562"/>
      <c r="S102" s="1563"/>
      <c r="T102" s="1564" t="s">
        <v>839</v>
      </c>
      <c r="U102" s="1526" t="s">
        <v>10</v>
      </c>
      <c r="V102" s="1565">
        <f>IF(V101=0,0,ROUND((V99*0.24)+(V100*0.433)+(V101*0.778),2))</f>
        <v>2863.53</v>
      </c>
      <c r="W102" s="1566" t="s">
        <v>3</v>
      </c>
      <c r="X102" s="568"/>
    </row>
    <row r="103" spans="1:24">
      <c r="A103" s="461"/>
      <c r="B103" s="1477" t="s">
        <v>1269</v>
      </c>
      <c r="D103" s="1477"/>
      <c r="E103" s="461"/>
      <c r="F103" s="461"/>
      <c r="G103" s="461"/>
      <c r="H103" s="461"/>
      <c r="I103" s="1431"/>
      <c r="J103" s="1478"/>
      <c r="K103" s="461"/>
      <c r="L103" s="461"/>
      <c r="M103" s="461"/>
      <c r="N103" s="461"/>
      <c r="O103" s="568"/>
      <c r="P103" s="1562" t="s">
        <v>1155</v>
      </c>
      <c r="Q103" s="1562"/>
      <c r="R103" s="1562"/>
      <c r="S103" s="1563"/>
      <c r="T103" s="1567" t="s">
        <v>1156</v>
      </c>
      <c r="U103" s="1526" t="s">
        <v>10</v>
      </c>
      <c r="V103" s="1565">
        <f>IF(V101=0,0,ROUND((V101*0.32*1.05)+(V99*0.596*1.2)+(V100*0.764*1.15),2))</f>
        <v>2167.63</v>
      </c>
      <c r="W103" s="1566" t="s">
        <v>3</v>
      </c>
      <c r="X103" s="568"/>
    </row>
    <row r="104" spans="1:24">
      <c r="A104" s="461"/>
      <c r="B104" s="461"/>
      <c r="C104" s="461" t="s">
        <v>1233</v>
      </c>
      <c r="D104" s="1477"/>
      <c r="E104" s="461"/>
      <c r="F104" s="1477"/>
      <c r="G104" s="461"/>
      <c r="H104" s="461"/>
      <c r="I104" s="1431"/>
      <c r="J104" s="1478"/>
      <c r="K104" s="461"/>
      <c r="L104" s="461"/>
      <c r="M104" s="461"/>
      <c r="N104" s="461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</row>
    <row r="105" spans="1:24" ht="18.600000000000001" customHeight="1">
      <c r="A105" s="461"/>
      <c r="B105" s="461"/>
      <c r="C105" s="461" t="s">
        <v>1234</v>
      </c>
      <c r="D105" s="1477"/>
      <c r="E105" s="461"/>
      <c r="F105" s="461"/>
      <c r="G105" s="461"/>
      <c r="H105" s="461"/>
      <c r="I105" s="1431"/>
      <c r="J105" s="1478"/>
      <c r="K105" s="461"/>
      <c r="L105" s="1515"/>
      <c r="M105" s="1515"/>
      <c r="N105" s="1515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</row>
    <row r="106" spans="1:24" ht="18.600000000000001" customHeight="1">
      <c r="A106" s="461"/>
      <c r="B106" s="461"/>
      <c r="C106" s="461" t="s">
        <v>1235</v>
      </c>
      <c r="D106" s="1477"/>
      <c r="E106" s="461"/>
      <c r="F106" s="1477"/>
      <c r="G106" s="461"/>
      <c r="H106" s="461"/>
      <c r="I106" s="1431"/>
      <c r="J106" s="1478"/>
      <c r="K106" s="461"/>
      <c r="L106" s="1515"/>
      <c r="M106" s="1568"/>
      <c r="N106" s="1379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</row>
    <row r="107" spans="1:24" ht="18.600000000000001" customHeight="1">
      <c r="A107" s="461"/>
      <c r="B107" s="1550" t="s">
        <v>1231</v>
      </c>
      <c r="C107" s="1476"/>
      <c r="D107" s="461"/>
      <c r="E107" s="461"/>
      <c r="F107" s="461"/>
      <c r="G107" s="461"/>
      <c r="H107" s="461"/>
      <c r="I107" s="461"/>
      <c r="J107" s="1431" t="s">
        <v>10</v>
      </c>
      <c r="K107" s="1547" t="s">
        <v>1236</v>
      </c>
      <c r="L107" s="1413"/>
      <c r="M107" s="1568"/>
      <c r="N107" s="1379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</row>
    <row r="108" spans="1:24" ht="18.600000000000001" customHeight="1">
      <c r="A108" s="461"/>
      <c r="B108" s="1550"/>
      <c r="C108" s="1477" t="s">
        <v>1242</v>
      </c>
      <c r="D108" s="1477"/>
      <c r="E108" s="461"/>
      <c r="F108" s="461"/>
      <c r="G108" s="1557"/>
      <c r="H108" s="461"/>
      <c r="I108" s="461"/>
      <c r="J108" s="1431" t="s">
        <v>10</v>
      </c>
      <c r="K108" s="1547" t="s">
        <v>1243</v>
      </c>
      <c r="L108" s="461" t="s">
        <v>1244</v>
      </c>
      <c r="M108" s="1568"/>
      <c r="N108" s="1379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</row>
    <row r="109" spans="1:24" ht="18.600000000000001" customHeight="1">
      <c r="A109" s="461"/>
      <c r="B109" s="1550"/>
      <c r="C109" s="1477" t="s">
        <v>1245</v>
      </c>
      <c r="D109" s="1477"/>
      <c r="E109" s="461"/>
      <c r="F109" s="461"/>
      <c r="G109" s="1557"/>
      <c r="H109" s="461"/>
      <c r="I109" s="461"/>
      <c r="J109" s="1431" t="s">
        <v>10</v>
      </c>
      <c r="K109" s="1548">
        <v>0.03</v>
      </c>
      <c r="L109" s="461" t="s">
        <v>45</v>
      </c>
      <c r="M109" s="1568"/>
      <c r="N109" s="1379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</row>
    <row r="110" spans="1:24" ht="18.600000000000001" customHeight="1">
      <c r="A110" s="461"/>
      <c r="B110" s="1550"/>
      <c r="C110" s="1477" t="s">
        <v>1246</v>
      </c>
      <c r="D110" s="1477"/>
      <c r="E110" s="461"/>
      <c r="F110" s="461"/>
      <c r="G110" s="1569"/>
      <c r="H110" s="461"/>
      <c r="I110" s="461"/>
      <c r="J110" s="1431" t="s">
        <v>10</v>
      </c>
      <c r="K110" s="1570">
        <v>250000</v>
      </c>
      <c r="L110" s="461" t="s">
        <v>1247</v>
      </c>
      <c r="M110" s="1568"/>
      <c r="N110" s="1379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</row>
    <row r="111" spans="1:24" ht="18.600000000000001" customHeight="1">
      <c r="A111" s="461"/>
      <c r="B111" s="1550"/>
      <c r="C111" s="1477" t="s">
        <v>1248</v>
      </c>
      <c r="D111" s="1477"/>
      <c r="E111" s="461"/>
      <c r="F111" s="1477"/>
      <c r="G111" s="1571"/>
      <c r="H111" s="1422"/>
      <c r="I111" s="461"/>
      <c r="J111" s="1431"/>
      <c r="K111" s="1547"/>
      <c r="L111" s="461"/>
      <c r="M111" s="1572"/>
      <c r="N111" s="1379"/>
      <c r="O111" s="568"/>
      <c r="P111" s="568"/>
      <c r="Q111" s="568"/>
      <c r="R111" s="568"/>
      <c r="S111" s="568"/>
      <c r="T111" s="568"/>
      <c r="U111" s="568"/>
      <c r="V111" s="568"/>
      <c r="W111" s="568"/>
      <c r="X111" s="568"/>
    </row>
    <row r="112" spans="1:24" ht="18.600000000000001" customHeight="1">
      <c r="A112" s="461"/>
      <c r="B112" s="1477"/>
      <c r="C112" s="1477" t="s">
        <v>1250</v>
      </c>
      <c r="D112" s="1477"/>
      <c r="E112" s="461"/>
      <c r="F112" s="1477"/>
      <c r="G112" s="1571"/>
      <c r="H112" s="1422"/>
      <c r="I112" s="461"/>
      <c r="J112" s="1431" t="s">
        <v>10</v>
      </c>
      <c r="K112" s="1548">
        <v>169.01</v>
      </c>
      <c r="L112" s="461" t="s">
        <v>7</v>
      </c>
      <c r="M112" s="1572" t="s">
        <v>1249</v>
      </c>
      <c r="N112" s="1379"/>
      <c r="O112" s="568"/>
      <c r="P112" s="568"/>
      <c r="Q112" s="568"/>
      <c r="R112" s="568"/>
      <c r="S112" s="568"/>
      <c r="T112" s="568"/>
      <c r="U112" s="568"/>
      <c r="V112" s="568"/>
      <c r="W112" s="568"/>
      <c r="X112" s="568"/>
    </row>
    <row r="113" spans="1:24" ht="18.600000000000001" customHeight="1">
      <c r="A113" s="461"/>
      <c r="B113" s="1477"/>
      <c r="C113" s="1477" t="s">
        <v>1251</v>
      </c>
      <c r="D113" s="1477"/>
      <c r="E113" s="461"/>
      <c r="F113" s="1477"/>
      <c r="G113" s="1571"/>
      <c r="H113" s="1422"/>
      <c r="I113" s="461"/>
      <c r="J113" s="1431" t="s">
        <v>10</v>
      </c>
      <c r="K113" s="1548">
        <v>35</v>
      </c>
      <c r="L113" s="461" t="s">
        <v>7</v>
      </c>
      <c r="M113" s="461"/>
      <c r="N113" s="461"/>
      <c r="O113" s="568"/>
      <c r="P113" s="568"/>
      <c r="Q113" s="568"/>
      <c r="R113" s="568"/>
      <c r="S113" s="568"/>
      <c r="T113" s="568"/>
      <c r="U113" s="568"/>
      <c r="V113" s="568"/>
      <c r="W113" s="568"/>
      <c r="X113" s="568"/>
    </row>
    <row r="114" spans="1:24" ht="18.600000000000001" customHeight="1">
      <c r="A114" s="461"/>
      <c r="B114" s="1477"/>
      <c r="C114" s="461" t="s">
        <v>1263</v>
      </c>
      <c r="D114" s="461"/>
      <c r="E114" s="461"/>
      <c r="F114" s="461"/>
      <c r="G114" s="461"/>
      <c r="H114" s="461"/>
      <c r="I114" s="1431"/>
      <c r="J114" s="1431" t="s">
        <v>10</v>
      </c>
      <c r="K114" s="1561">
        <f>(K112+K113)/10000</f>
        <v>2.0400999999999999E-2</v>
      </c>
      <c r="L114" s="461" t="s">
        <v>7</v>
      </c>
      <c r="M114" s="461"/>
      <c r="N114" s="461"/>
      <c r="O114" s="568"/>
      <c r="P114" s="568"/>
      <c r="Q114" s="568"/>
      <c r="R114" s="568"/>
      <c r="S114" s="568"/>
      <c r="T114" s="568"/>
      <c r="U114" s="568"/>
      <c r="V114" s="568"/>
      <c r="W114" s="568"/>
      <c r="X114" s="568"/>
    </row>
    <row r="115" spans="1:24" ht="18.600000000000001" customHeight="1">
      <c r="A115" s="461"/>
      <c r="B115" s="1477"/>
      <c r="C115" s="461" t="s">
        <v>1252</v>
      </c>
      <c r="D115" s="461"/>
      <c r="E115" s="461"/>
      <c r="F115" s="461"/>
      <c r="G115" s="461"/>
      <c r="H115" s="461"/>
      <c r="I115" s="1431"/>
      <c r="J115" s="1431" t="s">
        <v>10</v>
      </c>
      <c r="K115" s="1561">
        <f>K110/10000</f>
        <v>25</v>
      </c>
      <c r="L115" s="461" t="s">
        <v>7</v>
      </c>
      <c r="M115" s="461"/>
      <c r="N115" s="461"/>
      <c r="O115" s="568"/>
      <c r="P115" s="568"/>
      <c r="Q115" s="568"/>
      <c r="R115" s="568"/>
      <c r="S115" s="568"/>
      <c r="T115" s="568"/>
      <c r="U115" s="568"/>
      <c r="V115" s="568"/>
      <c r="W115" s="568"/>
      <c r="X115" s="568"/>
    </row>
    <row r="116" spans="1:24">
      <c r="A116" s="461" t="s">
        <v>250</v>
      </c>
      <c r="B116" s="1477"/>
      <c r="C116" s="1477" t="s">
        <v>1253</v>
      </c>
      <c r="D116" s="461"/>
      <c r="E116" s="461"/>
      <c r="F116" s="461"/>
      <c r="G116" s="461"/>
      <c r="H116" s="461"/>
      <c r="I116" s="1431"/>
      <c r="J116" s="1431"/>
      <c r="K116" s="1478"/>
      <c r="L116" s="461"/>
      <c r="M116" s="461"/>
      <c r="N116" s="461"/>
      <c r="O116" s="568"/>
      <c r="P116" s="568"/>
      <c r="Q116" s="568"/>
      <c r="R116" s="568"/>
      <c r="S116" s="568"/>
      <c r="T116" s="568"/>
      <c r="U116" s="568"/>
      <c r="V116" s="568"/>
      <c r="W116" s="568"/>
      <c r="X116" s="568"/>
    </row>
    <row r="117" spans="1:24" ht="18.600000000000001" customHeight="1">
      <c r="A117" s="461"/>
      <c r="B117" s="1411"/>
      <c r="C117" s="1477" t="s">
        <v>1254</v>
      </c>
      <c r="D117" s="1477"/>
      <c r="E117" s="461"/>
      <c r="F117" s="1477"/>
      <c r="G117" s="1571"/>
      <c r="H117" s="1422"/>
      <c r="I117" s="461"/>
      <c r="J117" s="1431" t="s">
        <v>10</v>
      </c>
      <c r="K117" s="1570">
        <f>F23</f>
        <v>27000</v>
      </c>
      <c r="L117" s="461" t="s">
        <v>7</v>
      </c>
      <c r="M117" s="1572" t="s">
        <v>1249</v>
      </c>
      <c r="N117" s="461"/>
      <c r="O117" s="568"/>
      <c r="P117" s="568"/>
      <c r="Q117" s="568"/>
      <c r="R117" s="568"/>
      <c r="S117" s="568"/>
      <c r="T117" s="568"/>
      <c r="U117" s="568"/>
      <c r="V117" s="568"/>
      <c r="W117" s="568"/>
      <c r="X117" s="568"/>
    </row>
    <row r="118" spans="1:24" ht="18.600000000000001" customHeight="1">
      <c r="A118" s="461"/>
      <c r="B118" s="1411"/>
      <c r="C118" s="1477" t="s">
        <v>1255</v>
      </c>
      <c r="D118" s="1477"/>
      <c r="E118" s="461"/>
      <c r="F118" s="1477"/>
      <c r="G118" s="1571"/>
      <c r="H118" s="1422"/>
      <c r="I118" s="461"/>
      <c r="J118" s="1431" t="s">
        <v>10</v>
      </c>
      <c r="K118" s="1547">
        <f>K23</f>
        <v>227.71</v>
      </c>
      <c r="L118" s="461" t="s">
        <v>7</v>
      </c>
      <c r="M118" s="1572"/>
      <c r="N118" s="461"/>
      <c r="O118" s="568"/>
      <c r="P118" s="568"/>
      <c r="Q118" s="568"/>
      <c r="R118" s="568"/>
      <c r="S118" s="568"/>
      <c r="T118" s="568"/>
      <c r="U118" s="568"/>
      <c r="V118" s="568"/>
      <c r="W118" s="568"/>
      <c r="X118" s="568"/>
    </row>
    <row r="119" spans="1:24" ht="18.600000000000001" customHeight="1">
      <c r="A119" s="461"/>
      <c r="B119" s="1411"/>
      <c r="C119" s="1477" t="s">
        <v>1251</v>
      </c>
      <c r="D119" s="1477"/>
      <c r="E119" s="461"/>
      <c r="F119" s="1477"/>
      <c r="G119" s="1571"/>
      <c r="H119" s="1422"/>
      <c r="I119" s="461"/>
      <c r="J119" s="1431" t="s">
        <v>10</v>
      </c>
      <c r="K119" s="1547">
        <v>35</v>
      </c>
      <c r="L119" s="461" t="s">
        <v>7</v>
      </c>
      <c r="M119" s="1572"/>
      <c r="N119" s="461"/>
      <c r="O119" s="568"/>
      <c r="P119" s="568"/>
      <c r="Q119" s="568"/>
      <c r="R119" s="568"/>
      <c r="S119" s="568"/>
      <c r="T119" s="568"/>
      <c r="U119" s="568"/>
      <c r="V119" s="568"/>
      <c r="W119" s="568"/>
      <c r="X119" s="568"/>
    </row>
    <row r="120" spans="1:24" ht="18.600000000000001" customHeight="1">
      <c r="A120" s="461"/>
      <c r="B120" s="1411"/>
      <c r="C120" s="461" t="s">
        <v>1273</v>
      </c>
      <c r="D120" s="461"/>
      <c r="E120" s="461"/>
      <c r="F120" s="461"/>
      <c r="G120" s="461"/>
      <c r="H120" s="461"/>
      <c r="I120" s="1431"/>
      <c r="J120" s="1431" t="s">
        <v>10</v>
      </c>
      <c r="K120" s="1561">
        <f>(K117+K118+K119)</f>
        <v>27262.71</v>
      </c>
      <c r="L120" s="461" t="s">
        <v>7</v>
      </c>
      <c r="M120" s="1572"/>
      <c r="N120" s="461"/>
      <c r="O120" s="568"/>
      <c r="P120" s="568"/>
      <c r="Q120" s="568"/>
      <c r="R120" s="568"/>
      <c r="S120" s="568"/>
      <c r="T120" s="568"/>
      <c r="U120" s="568"/>
      <c r="V120" s="568"/>
      <c r="W120" s="568"/>
      <c r="X120" s="568"/>
    </row>
    <row r="121" spans="1:24" ht="18.600000000000001" customHeight="1">
      <c r="A121" s="461"/>
      <c r="B121" s="1411"/>
      <c r="C121" s="1477" t="s">
        <v>1256</v>
      </c>
      <c r="D121" s="461"/>
      <c r="E121" s="461"/>
      <c r="F121" s="461"/>
      <c r="G121" s="461"/>
      <c r="H121" s="461"/>
      <c r="I121" s="1431"/>
      <c r="J121" s="1431"/>
      <c r="K121" s="1478"/>
      <c r="L121" s="461"/>
      <c r="M121" s="461"/>
      <c r="N121" s="461"/>
      <c r="O121" s="568"/>
      <c r="P121" s="568"/>
      <c r="Q121" s="568"/>
      <c r="R121" s="568"/>
      <c r="S121" s="568"/>
      <c r="T121" s="568"/>
      <c r="U121" s="568"/>
      <c r="V121" s="568"/>
      <c r="W121" s="568"/>
      <c r="X121" s="568"/>
    </row>
    <row r="122" spans="1:24" ht="18.600000000000001" customHeight="1">
      <c r="A122" s="461"/>
      <c r="B122" s="1411"/>
      <c r="C122" s="1477" t="s">
        <v>1257</v>
      </c>
      <c r="D122" s="1477"/>
      <c r="E122" s="461"/>
      <c r="F122" s="1477"/>
      <c r="G122" s="1571"/>
      <c r="H122" s="1422"/>
      <c r="I122" s="461"/>
      <c r="J122" s="1431" t="s">
        <v>10</v>
      </c>
      <c r="K122" s="1548">
        <f>((F13*0.5)+(F14*0.25)+(F15*0.1)+(F16*0.15))*0.74</f>
        <v>180.93</v>
      </c>
      <c r="L122" s="461" t="s">
        <v>7</v>
      </c>
      <c r="M122" s="1572" t="s">
        <v>1249</v>
      </c>
      <c r="N122" s="461"/>
      <c r="O122" s="568"/>
      <c r="P122" s="568"/>
      <c r="Q122" s="568"/>
      <c r="R122" s="568"/>
      <c r="S122" s="568"/>
      <c r="T122" s="568"/>
      <c r="U122" s="568"/>
      <c r="V122" s="568"/>
      <c r="W122" s="568"/>
      <c r="X122" s="568"/>
    </row>
    <row r="123" spans="1:24" ht="18.600000000000001" customHeight="1">
      <c r="A123" s="461"/>
      <c r="B123" s="1411"/>
      <c r="C123" s="1477" t="s">
        <v>1266</v>
      </c>
      <c r="D123" s="1477"/>
      <c r="E123" s="461"/>
      <c r="F123" s="1477"/>
      <c r="G123" s="1571"/>
      <c r="H123" s="1422"/>
      <c r="I123" s="461"/>
      <c r="J123" s="1431" t="s">
        <v>10</v>
      </c>
      <c r="K123" s="1548">
        <v>271.69</v>
      </c>
      <c r="L123" s="461" t="s">
        <v>7</v>
      </c>
      <c r="M123" s="1572"/>
      <c r="N123" s="461"/>
      <c r="O123" s="568"/>
      <c r="P123" s="568"/>
      <c r="Q123" s="568"/>
      <c r="R123" s="568"/>
      <c r="S123" s="568"/>
      <c r="T123" s="568"/>
      <c r="U123" s="568"/>
      <c r="V123" s="568"/>
      <c r="W123" s="568"/>
      <c r="X123" s="568"/>
    </row>
    <row r="124" spans="1:24" ht="18.600000000000001" customHeight="1">
      <c r="A124" s="461"/>
      <c r="B124" s="1411"/>
      <c r="C124" s="461" t="s">
        <v>1275</v>
      </c>
      <c r="D124" s="461"/>
      <c r="E124" s="461"/>
      <c r="F124" s="461"/>
      <c r="G124" s="461"/>
      <c r="H124" s="461"/>
      <c r="I124" s="1431"/>
      <c r="J124" s="1431" t="s">
        <v>10</v>
      </c>
      <c r="K124" s="1573">
        <f>K122+K123</f>
        <v>452.62</v>
      </c>
      <c r="L124" s="461" t="s">
        <v>7</v>
      </c>
      <c r="M124" s="1572"/>
      <c r="N124" s="461"/>
      <c r="O124" s="568"/>
      <c r="P124" s="568"/>
      <c r="Q124" s="568"/>
      <c r="R124" s="568"/>
      <c r="S124" s="568"/>
      <c r="T124" s="568"/>
      <c r="U124" s="568"/>
      <c r="V124" s="568"/>
      <c r="W124" s="568"/>
      <c r="X124" s="568"/>
    </row>
    <row r="125" spans="1:24" ht="18.600000000000001" customHeight="1">
      <c r="A125" s="461"/>
      <c r="B125" s="1411"/>
      <c r="C125" s="1477" t="s">
        <v>1264</v>
      </c>
      <c r="D125" s="1477"/>
      <c r="E125" s="461"/>
      <c r="F125" s="1477"/>
      <c r="G125" s="1571"/>
      <c r="H125" s="1422"/>
      <c r="I125" s="461"/>
      <c r="J125" s="1431" t="s">
        <v>10</v>
      </c>
      <c r="K125" s="1548">
        <v>437.13</v>
      </c>
      <c r="L125" s="461" t="s">
        <v>7</v>
      </c>
      <c r="M125" s="1572"/>
      <c r="N125" s="461"/>
      <c r="O125" s="568"/>
      <c r="P125" s="568"/>
      <c r="Q125" s="568"/>
      <c r="R125" s="568"/>
      <c r="S125" s="568"/>
      <c r="T125" s="568"/>
      <c r="U125" s="568"/>
      <c r="V125" s="568"/>
      <c r="W125" s="568"/>
      <c r="X125" s="568"/>
    </row>
    <row r="126" spans="1:24" ht="18.600000000000001" customHeight="1">
      <c r="A126" s="461"/>
      <c r="B126" s="1411"/>
      <c r="C126" s="1477" t="s">
        <v>1259</v>
      </c>
      <c r="D126" s="1477"/>
      <c r="E126" s="461"/>
      <c r="F126" s="1477"/>
      <c r="G126" s="1571"/>
      <c r="H126" s="1422"/>
      <c r="I126" s="461"/>
      <c r="J126" s="1431" t="s">
        <v>10</v>
      </c>
      <c r="K126" s="1548">
        <v>8.32</v>
      </c>
      <c r="L126" s="461" t="s">
        <v>7</v>
      </c>
      <c r="M126" s="1572"/>
      <c r="N126" s="461"/>
      <c r="O126" s="568"/>
      <c r="P126" s="568"/>
      <c r="Q126" s="568"/>
      <c r="R126" s="568"/>
      <c r="S126" s="568"/>
      <c r="T126" s="568"/>
      <c r="U126" s="568"/>
      <c r="V126" s="568"/>
      <c r="W126" s="568"/>
      <c r="X126" s="568"/>
    </row>
    <row r="127" spans="1:24">
      <c r="A127" s="461"/>
      <c r="B127" s="1411"/>
      <c r="C127" s="1477" t="s">
        <v>1267</v>
      </c>
      <c r="D127" s="1477"/>
      <c r="E127" s="461"/>
      <c r="F127" s="1477"/>
      <c r="G127" s="1571"/>
      <c r="H127" s="1422"/>
      <c r="I127" s="461"/>
      <c r="J127" s="1431" t="s">
        <v>10</v>
      </c>
      <c r="K127" s="1548">
        <f>(15.85/5)*3</f>
        <v>9.51</v>
      </c>
      <c r="L127" s="461" t="s">
        <v>1258</v>
      </c>
      <c r="M127" s="1572"/>
      <c r="N127" s="461"/>
      <c r="O127" s="568"/>
      <c r="P127" s="568"/>
      <c r="Q127" s="568"/>
      <c r="R127" s="568"/>
      <c r="S127" s="568"/>
      <c r="T127" s="568"/>
      <c r="U127" s="568"/>
      <c r="V127" s="568"/>
      <c r="W127" s="568"/>
      <c r="X127" s="568"/>
    </row>
    <row r="128" spans="1:24" ht="18.600000000000001" customHeight="1">
      <c r="A128" s="461"/>
      <c r="B128" s="1411"/>
      <c r="C128" s="461" t="s">
        <v>1276</v>
      </c>
      <c r="D128" s="1477"/>
      <c r="E128" s="461"/>
      <c r="F128" s="1477"/>
      <c r="G128" s="1571"/>
      <c r="H128" s="1422"/>
      <c r="I128" s="461"/>
      <c r="J128" s="1431" t="s">
        <v>10</v>
      </c>
      <c r="K128" s="1574">
        <f>((80*K114)+K115+(0.047*K120)+(0.74*K124)+K125+K126)+K127</f>
        <v>2097.8782500000007</v>
      </c>
      <c r="L128" s="461" t="s">
        <v>7</v>
      </c>
      <c r="M128" s="1575"/>
      <c r="N128" s="1575"/>
      <c r="O128" s="568"/>
      <c r="P128" s="568"/>
      <c r="Q128" s="568"/>
      <c r="R128" s="568"/>
      <c r="S128" s="568"/>
      <c r="T128" s="568"/>
      <c r="U128" s="568"/>
      <c r="V128" s="568"/>
      <c r="W128" s="568"/>
      <c r="X128" s="568"/>
    </row>
    <row r="129" spans="1:24" ht="18.600000000000001" customHeight="1">
      <c r="A129" s="461"/>
      <c r="B129" s="1411"/>
      <c r="C129" s="1477" t="s">
        <v>1272</v>
      </c>
      <c r="D129" s="1477"/>
      <c r="E129" s="461"/>
      <c r="F129" s="1477"/>
      <c r="G129" s="1571"/>
      <c r="H129" s="1422"/>
      <c r="I129" s="461"/>
      <c r="J129" s="1431" t="s">
        <v>10</v>
      </c>
      <c r="K129" s="1549">
        <f>(K128/13.89)</f>
        <v>151.035151187905</v>
      </c>
      <c r="L129" s="461" t="s">
        <v>115</v>
      </c>
      <c r="M129" s="1547"/>
      <c r="N129" s="1547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</row>
    <row r="130" spans="1:24" ht="18.600000000000001" customHeight="1">
      <c r="A130" s="461"/>
      <c r="B130" s="1411"/>
      <c r="C130" s="1477"/>
      <c r="D130" s="1477"/>
      <c r="E130" s="461"/>
      <c r="F130" s="1477"/>
      <c r="G130" s="1571"/>
      <c r="H130" s="1422"/>
      <c r="I130" s="461"/>
      <c r="J130" s="1431"/>
      <c r="K130" s="1547"/>
      <c r="L130" s="1413"/>
      <c r="M130" s="1576"/>
      <c r="N130" s="1413"/>
      <c r="O130" s="568"/>
      <c r="P130" s="568"/>
      <c r="Q130" s="568"/>
      <c r="R130" s="568"/>
      <c r="S130" s="568"/>
      <c r="T130" s="568"/>
      <c r="U130" s="568"/>
      <c r="V130" s="568"/>
      <c r="W130" s="568"/>
      <c r="X130" s="568"/>
    </row>
    <row r="131" spans="1:24" ht="18.600000000000001" customHeight="1">
      <c r="A131" s="461"/>
      <c r="B131" s="1550" t="s">
        <v>1268</v>
      </c>
      <c r="C131" s="461"/>
      <c r="D131" s="1477"/>
      <c r="E131" s="461"/>
      <c r="F131" s="461"/>
      <c r="G131" s="461"/>
      <c r="H131" s="461"/>
      <c r="I131" s="1431"/>
      <c r="J131" s="1431" t="s">
        <v>10</v>
      </c>
      <c r="K131" s="1561">
        <f>(15.85/0.05)*0.03</f>
        <v>9.51</v>
      </c>
      <c r="L131" s="461" t="s">
        <v>194</v>
      </c>
      <c r="M131" s="1576"/>
      <c r="N131" s="1413"/>
      <c r="O131" s="568"/>
      <c r="P131" s="568"/>
      <c r="Q131" s="568"/>
      <c r="R131" s="568"/>
      <c r="S131" s="568"/>
      <c r="T131" s="568"/>
      <c r="U131" s="568"/>
      <c r="V131" s="568"/>
      <c r="W131" s="568"/>
      <c r="X131" s="568"/>
    </row>
    <row r="132" spans="1:24" ht="18.600000000000001" customHeight="1">
      <c r="A132" s="461"/>
      <c r="B132" s="1550"/>
      <c r="C132" s="1477" t="s">
        <v>1277</v>
      </c>
      <c r="D132" s="1477"/>
      <c r="E132" s="461"/>
      <c r="F132" s="1477"/>
      <c r="G132" s="1571"/>
      <c r="H132" s="1422"/>
      <c r="I132" s="461"/>
      <c r="J132" s="1431" t="s">
        <v>10</v>
      </c>
      <c r="K132" s="1549">
        <f>K100+K129+K131</f>
        <v>232.71235228790499</v>
      </c>
      <c r="L132" s="461" t="s">
        <v>115</v>
      </c>
      <c r="M132" s="1576"/>
      <c r="N132" s="1413"/>
      <c r="O132" s="568"/>
      <c r="P132" s="568"/>
      <c r="Q132" s="568"/>
      <c r="R132" s="568"/>
      <c r="S132" s="568"/>
      <c r="T132" s="568"/>
      <c r="U132" s="568"/>
      <c r="V132" s="568"/>
      <c r="W132" s="568"/>
      <c r="X132" s="568"/>
    </row>
    <row r="133" spans="1:24" ht="18.600000000000001" customHeight="1">
      <c r="A133" s="461"/>
      <c r="B133" s="1577"/>
      <c r="C133" s="1413"/>
      <c r="D133" s="1578"/>
      <c r="E133" s="1413"/>
      <c r="F133" s="461"/>
      <c r="G133" s="461"/>
      <c r="H133" s="461"/>
      <c r="I133" s="1431"/>
      <c r="J133" s="1431"/>
      <c r="K133" s="1558"/>
      <c r="L133" s="461"/>
      <c r="M133" s="1576"/>
      <c r="N133" s="1413"/>
      <c r="O133" s="568"/>
      <c r="P133" s="568"/>
      <c r="Q133" s="568"/>
      <c r="R133" s="568"/>
      <c r="S133" s="568"/>
      <c r="T133" s="568"/>
      <c r="U133" s="568"/>
      <c r="V133" s="568"/>
      <c r="W133" s="568"/>
      <c r="X133" s="568"/>
    </row>
    <row r="134" spans="1:24" ht="18.600000000000001" customHeight="1">
      <c r="A134" s="461"/>
      <c r="B134" s="1475" t="s">
        <v>1320</v>
      </c>
      <c r="C134" s="1476"/>
      <c r="D134" s="461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568"/>
      <c r="P134" s="568"/>
      <c r="Q134" s="568"/>
      <c r="R134" s="568"/>
      <c r="S134" s="568"/>
      <c r="T134" s="568"/>
      <c r="U134" s="568"/>
      <c r="V134" s="568"/>
      <c r="W134" s="568"/>
      <c r="X134" s="568"/>
    </row>
    <row r="135" spans="1:24" ht="18.600000000000001" customHeight="1">
      <c r="A135" s="461"/>
      <c r="B135" s="1550" t="s">
        <v>1303</v>
      </c>
      <c r="C135" s="1476"/>
      <c r="D135" s="461"/>
      <c r="E135" s="461"/>
      <c r="F135" s="461"/>
      <c r="G135" s="461"/>
      <c r="H135" s="461"/>
      <c r="I135" s="461"/>
      <c r="J135" s="461"/>
      <c r="K135" s="461"/>
      <c r="L135" s="461"/>
      <c r="M135" s="461"/>
      <c r="N135" s="461"/>
      <c r="O135" s="568"/>
      <c r="P135" s="568"/>
      <c r="Q135" s="568"/>
      <c r="R135" s="568"/>
      <c r="S135" s="568"/>
      <c r="T135" s="568"/>
      <c r="U135" s="568"/>
      <c r="V135" s="568"/>
      <c r="W135" s="568"/>
      <c r="X135" s="568"/>
    </row>
    <row r="136" spans="1:24" ht="18.600000000000001" customHeight="1">
      <c r="A136" s="461"/>
      <c r="B136" s="461"/>
      <c r="C136" s="461"/>
      <c r="D136" s="1477" t="s">
        <v>1304</v>
      </c>
      <c r="E136" s="461"/>
      <c r="F136" s="461"/>
      <c r="G136" s="461"/>
      <c r="H136" s="461"/>
      <c r="I136" s="1431"/>
      <c r="J136" s="1478"/>
      <c r="K136" s="461"/>
      <c r="L136" s="461"/>
      <c r="M136" s="461"/>
      <c r="N136" s="461"/>
      <c r="O136" s="568"/>
      <c r="P136" s="568"/>
      <c r="Q136" s="568"/>
      <c r="R136" s="568"/>
      <c r="S136" s="568"/>
      <c r="T136" s="568"/>
      <c r="U136" s="568"/>
      <c r="V136" s="568"/>
      <c r="W136" s="568"/>
      <c r="X136" s="568"/>
    </row>
    <row r="137" spans="1:24" ht="18.600000000000001" customHeight="1">
      <c r="A137" s="461"/>
      <c r="B137" s="461"/>
      <c r="C137" s="461"/>
      <c r="D137" s="1477" t="s">
        <v>1305</v>
      </c>
      <c r="E137" s="461"/>
      <c r="F137" s="461"/>
      <c r="G137" s="461"/>
      <c r="H137" s="461" t="s">
        <v>115</v>
      </c>
      <c r="I137" s="1431"/>
      <c r="J137" s="1478"/>
      <c r="K137" s="461"/>
      <c r="L137" s="461"/>
      <c r="M137" s="461"/>
      <c r="N137" s="461"/>
      <c r="O137" s="568"/>
      <c r="P137" s="568"/>
      <c r="Q137" s="568"/>
      <c r="R137" s="568"/>
      <c r="S137" s="568"/>
      <c r="T137" s="568"/>
      <c r="U137" s="568"/>
      <c r="V137" s="568"/>
      <c r="W137" s="568"/>
      <c r="X137" s="568"/>
    </row>
    <row r="138" spans="1:24" ht="18.600000000000001" customHeight="1">
      <c r="A138" s="461"/>
      <c r="B138" s="461"/>
      <c r="C138" s="461"/>
      <c r="D138" s="1477" t="s">
        <v>1306</v>
      </c>
      <c r="E138" s="461"/>
      <c r="F138" s="461"/>
      <c r="G138" s="461"/>
      <c r="H138" s="461" t="s">
        <v>194</v>
      </c>
      <c r="I138" s="1431"/>
      <c r="J138" s="1478"/>
      <c r="K138" s="461"/>
      <c r="L138" s="461"/>
      <c r="M138" s="461"/>
      <c r="N138" s="461"/>
      <c r="O138" s="568"/>
      <c r="P138" s="568"/>
      <c r="Q138" s="568"/>
      <c r="R138" s="568"/>
      <c r="S138" s="568"/>
      <c r="T138" s="568"/>
      <c r="U138" s="568"/>
      <c r="V138" s="568"/>
      <c r="W138" s="568"/>
      <c r="X138" s="568"/>
    </row>
    <row r="139" spans="1:24" ht="18.600000000000001" customHeight="1">
      <c r="A139" s="461"/>
      <c r="B139" s="461"/>
      <c r="C139" s="461"/>
      <c r="D139" s="1477" t="s">
        <v>1307</v>
      </c>
      <c r="E139" s="461"/>
      <c r="F139" s="1477"/>
      <c r="G139" s="461"/>
      <c r="H139" s="461" t="s">
        <v>8</v>
      </c>
      <c r="I139" s="1431"/>
      <c r="J139" s="1478"/>
      <c r="K139" s="461"/>
      <c r="L139" s="461"/>
      <c r="M139" s="461"/>
      <c r="N139" s="461"/>
      <c r="O139" s="568"/>
      <c r="P139" s="568"/>
      <c r="Q139" s="568"/>
      <c r="R139" s="568"/>
      <c r="S139" s="568"/>
      <c r="T139" s="568"/>
      <c r="U139" s="568"/>
      <c r="V139" s="568"/>
      <c r="W139" s="568"/>
      <c r="X139" s="568"/>
    </row>
    <row r="140" spans="1:24" ht="18.600000000000001" customHeight="1">
      <c r="A140" s="461"/>
      <c r="B140" s="461"/>
      <c r="C140" s="461"/>
      <c r="D140" s="1477" t="s">
        <v>1308</v>
      </c>
      <c r="E140" s="461"/>
      <c r="F140" s="461"/>
      <c r="G140" s="461"/>
      <c r="H140" s="461" t="s">
        <v>194</v>
      </c>
      <c r="I140" s="1431"/>
      <c r="J140" s="1478"/>
      <c r="K140" s="461"/>
      <c r="L140" s="1515"/>
      <c r="M140" s="1515"/>
      <c r="N140" s="1515"/>
      <c r="O140" s="568"/>
      <c r="P140" s="568"/>
      <c r="Q140" s="568"/>
      <c r="R140" s="568"/>
      <c r="S140" s="568"/>
      <c r="T140" s="568"/>
      <c r="U140" s="568"/>
      <c r="V140" s="568"/>
      <c r="W140" s="568"/>
      <c r="X140" s="568"/>
    </row>
    <row r="141" spans="1:24" ht="18.600000000000001" customHeight="1">
      <c r="A141" s="461"/>
      <c r="B141" s="461"/>
      <c r="C141" s="461"/>
      <c r="D141" s="1477" t="s">
        <v>1309</v>
      </c>
      <c r="E141" s="461"/>
      <c r="F141" s="1477"/>
      <c r="G141" s="461"/>
      <c r="H141" s="461" t="s">
        <v>8</v>
      </c>
      <c r="I141" s="1431"/>
      <c r="J141" s="1478"/>
      <c r="K141" s="461"/>
      <c r="L141" s="1515"/>
      <c r="M141" s="1568"/>
      <c r="N141" s="1379"/>
      <c r="O141" s="568"/>
      <c r="P141" s="568"/>
      <c r="Q141" s="568"/>
      <c r="R141" s="568"/>
      <c r="S141" s="568"/>
      <c r="T141" s="568"/>
      <c r="U141" s="568"/>
      <c r="V141" s="568"/>
      <c r="W141" s="568"/>
      <c r="X141" s="568"/>
    </row>
    <row r="142" spans="1:24" ht="18.600000000000001" customHeight="1">
      <c r="A142" s="461"/>
      <c r="B142" s="1550" t="s">
        <v>1310</v>
      </c>
      <c r="C142" s="1476"/>
      <c r="D142" s="461"/>
      <c r="E142" s="461"/>
      <c r="F142" s="461"/>
      <c r="G142" s="461"/>
      <c r="H142" s="461"/>
      <c r="I142" s="461"/>
      <c r="J142" s="461"/>
      <c r="K142" s="461"/>
      <c r="L142" s="1515"/>
      <c r="M142" s="1568"/>
      <c r="N142" s="1379"/>
      <c r="O142" s="568"/>
      <c r="P142" s="568"/>
      <c r="Q142" s="568"/>
      <c r="R142" s="568"/>
      <c r="S142" s="568"/>
      <c r="T142" s="568"/>
      <c r="U142" s="568"/>
      <c r="V142" s="568"/>
      <c r="W142" s="568"/>
      <c r="X142" s="568"/>
    </row>
    <row r="143" spans="1:24" ht="18.600000000000001" customHeight="1">
      <c r="A143" s="461"/>
      <c r="B143" s="1550"/>
      <c r="C143" s="1476"/>
      <c r="D143" s="1477" t="s">
        <v>1311</v>
      </c>
      <c r="E143" s="461"/>
      <c r="F143" s="461"/>
      <c r="G143" s="1579">
        <v>36</v>
      </c>
      <c r="H143" s="461" t="s">
        <v>115</v>
      </c>
      <c r="I143" s="461"/>
      <c r="J143" s="461"/>
      <c r="K143" s="461"/>
      <c r="L143" s="1515"/>
      <c r="M143" s="1568"/>
      <c r="N143" s="1379"/>
      <c r="O143" s="568"/>
      <c r="P143" s="568"/>
      <c r="Q143" s="568"/>
      <c r="R143" s="568"/>
      <c r="S143" s="568"/>
      <c r="T143" s="568"/>
      <c r="U143" s="568"/>
      <c r="V143" s="568"/>
      <c r="W143" s="568"/>
      <c r="X143" s="568"/>
    </row>
    <row r="144" spans="1:24" ht="18.600000000000001" customHeight="1">
      <c r="A144" s="461"/>
      <c r="B144" s="1550"/>
      <c r="C144" s="1476"/>
      <c r="D144" s="1477" t="s">
        <v>1312</v>
      </c>
      <c r="E144" s="461"/>
      <c r="F144" s="461"/>
      <c r="G144" s="1569">
        <v>0.2</v>
      </c>
      <c r="H144" s="461" t="s">
        <v>195</v>
      </c>
      <c r="I144" s="461"/>
      <c r="J144" s="461"/>
      <c r="K144" s="461"/>
      <c r="L144" s="1515"/>
      <c r="M144" s="1568"/>
      <c r="N144" s="1379"/>
      <c r="O144" s="568"/>
      <c r="P144" s="568"/>
      <c r="Q144" s="568"/>
      <c r="R144" s="568"/>
      <c r="S144" s="568"/>
      <c r="T144" s="568"/>
      <c r="U144" s="568"/>
      <c r="V144" s="568"/>
      <c r="W144" s="568"/>
      <c r="X144" s="568"/>
    </row>
    <row r="145" spans="1:24" ht="18.600000000000001" customHeight="1">
      <c r="A145" s="461"/>
      <c r="B145" s="1550"/>
      <c r="C145" s="1476"/>
      <c r="D145" s="1477" t="s">
        <v>1313</v>
      </c>
      <c r="E145" s="461"/>
      <c r="F145" s="461"/>
      <c r="G145" s="1569">
        <v>3.5</v>
      </c>
      <c r="H145" s="461" t="s">
        <v>59</v>
      </c>
      <c r="I145" s="461"/>
      <c r="J145" s="461"/>
      <c r="K145" s="461"/>
      <c r="L145" s="1515"/>
      <c r="M145" s="1568"/>
      <c r="N145" s="1379"/>
      <c r="O145" s="568"/>
      <c r="P145" s="568"/>
      <c r="Q145" s="568"/>
      <c r="R145" s="568"/>
      <c r="S145" s="568"/>
      <c r="T145" s="568"/>
      <c r="U145" s="568"/>
      <c r="V145" s="568"/>
      <c r="W145" s="568"/>
      <c r="X145" s="568"/>
    </row>
    <row r="146" spans="1:24" ht="18.600000000000001" customHeight="1">
      <c r="A146" s="461"/>
      <c r="B146" s="1550"/>
      <c r="C146" s="1476"/>
      <c r="D146" s="1477" t="s">
        <v>1314</v>
      </c>
      <c r="E146" s="461"/>
      <c r="F146" s="1477"/>
      <c r="G146" s="1571">
        <v>2200</v>
      </c>
      <c r="H146" s="1422" t="s">
        <v>320</v>
      </c>
      <c r="I146" s="461"/>
      <c r="J146" s="461"/>
      <c r="K146" s="461"/>
      <c r="L146" s="1515"/>
      <c r="M146" s="1568"/>
      <c r="N146" s="1379"/>
      <c r="O146" s="568"/>
      <c r="P146" s="568"/>
      <c r="Q146" s="568"/>
      <c r="R146" s="568"/>
      <c r="S146" s="568"/>
      <c r="T146" s="568"/>
      <c r="U146" s="568"/>
      <c r="V146" s="568"/>
      <c r="W146" s="568"/>
      <c r="X146" s="568"/>
    </row>
    <row r="147" spans="1:24" ht="18.600000000000001" customHeight="1">
      <c r="A147" s="461"/>
      <c r="B147" s="1477" t="s">
        <v>1315</v>
      </c>
      <c r="C147" s="461"/>
      <c r="D147" s="461"/>
      <c r="E147" s="461"/>
      <c r="F147" s="1578"/>
      <c r="G147" s="461"/>
      <c r="H147" s="461"/>
      <c r="I147" s="1431"/>
      <c r="J147" s="1431" t="s">
        <v>10</v>
      </c>
      <c r="K147" s="1580">
        <f>F21+K21</f>
        <v>2984.8700000000003</v>
      </c>
      <c r="L147" s="461" t="s">
        <v>8</v>
      </c>
      <c r="M147" s="461"/>
      <c r="N147" s="461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</row>
    <row r="148" spans="1:24" ht="18.600000000000001" customHeight="1">
      <c r="A148" s="461"/>
      <c r="B148" s="1477" t="s">
        <v>1316</v>
      </c>
      <c r="C148" s="461"/>
      <c r="D148" s="461"/>
      <c r="E148" s="461"/>
      <c r="F148" s="461"/>
      <c r="G148" s="461"/>
      <c r="H148" s="461"/>
      <c r="I148" s="1431"/>
      <c r="J148" s="1431" t="s">
        <v>10</v>
      </c>
      <c r="K148" s="1581">
        <f>(G146*G144*(G145/100))/1000</f>
        <v>1.5400000000000002E-2</v>
      </c>
      <c r="L148" s="461" t="s">
        <v>194</v>
      </c>
      <c r="M148" s="461"/>
      <c r="N148" s="461"/>
      <c r="O148" s="568"/>
      <c r="P148" s="568"/>
      <c r="Q148" s="568"/>
      <c r="R148" s="568"/>
      <c r="S148" s="568"/>
      <c r="T148" s="568"/>
      <c r="U148" s="568"/>
      <c r="V148" s="568"/>
      <c r="W148" s="568"/>
      <c r="X148" s="568"/>
    </row>
    <row r="149" spans="1:24" ht="18.600000000000001" customHeight="1">
      <c r="A149" s="461"/>
      <c r="B149" s="1477" t="s">
        <v>1317</v>
      </c>
      <c r="C149" s="461"/>
      <c r="D149" s="461"/>
      <c r="E149" s="461"/>
      <c r="F149" s="461"/>
      <c r="G149" s="461"/>
      <c r="H149" s="461"/>
      <c r="I149" s="1431"/>
      <c r="J149" s="1431" t="s">
        <v>10</v>
      </c>
      <c r="K149" s="1478">
        <f>(G143+(K147*K148))</f>
        <v>81.966998000000018</v>
      </c>
      <c r="L149" s="461" t="s">
        <v>11</v>
      </c>
      <c r="M149" s="461"/>
      <c r="N149" s="461"/>
      <c r="O149" s="568"/>
      <c r="P149" s="568"/>
      <c r="Q149" s="568"/>
      <c r="R149" s="568"/>
      <c r="S149" s="568"/>
      <c r="T149" s="568"/>
      <c r="U149" s="568"/>
      <c r="V149" s="568"/>
      <c r="W149" s="568"/>
      <c r="X149" s="568"/>
    </row>
    <row r="150" spans="1:24" ht="18.600000000000001" customHeight="1">
      <c r="A150" s="461"/>
      <c r="B150" s="1477" t="s">
        <v>249</v>
      </c>
      <c r="C150" s="461"/>
      <c r="D150" s="461"/>
      <c r="E150" s="461"/>
      <c r="F150" s="461"/>
      <c r="G150" s="461"/>
      <c r="H150" s="461"/>
      <c r="I150" s="1431"/>
      <c r="J150" s="1431" t="s">
        <v>10</v>
      </c>
      <c r="K150" s="1582">
        <v>0</v>
      </c>
      <c r="L150" s="461" t="s">
        <v>11</v>
      </c>
      <c r="M150" s="461"/>
      <c r="N150" s="461"/>
      <c r="O150" s="568"/>
      <c r="P150" s="568"/>
      <c r="Q150" s="568"/>
      <c r="R150" s="568"/>
      <c r="S150" s="568"/>
      <c r="T150" s="568"/>
      <c r="U150" s="568"/>
      <c r="V150" s="568"/>
      <c r="W150" s="568"/>
      <c r="X150" s="568"/>
    </row>
    <row r="151" spans="1:24" ht="18.600000000000001" customHeight="1">
      <c r="A151" s="461"/>
      <c r="B151" s="1477" t="s">
        <v>1318</v>
      </c>
      <c r="C151" s="461"/>
      <c r="D151" s="461"/>
      <c r="E151" s="461"/>
      <c r="F151" s="461"/>
      <c r="G151" s="461"/>
      <c r="H151" s="461"/>
      <c r="I151" s="1431"/>
      <c r="J151" s="1431" t="s">
        <v>10</v>
      </c>
      <c r="K151" s="1478">
        <f>(K149+K150)</f>
        <v>81.966998000000018</v>
      </c>
      <c r="L151" s="461" t="s">
        <v>11</v>
      </c>
      <c r="M151" s="461"/>
      <c r="N151" s="461"/>
      <c r="O151" s="568"/>
      <c r="P151" s="568"/>
      <c r="Q151" s="568"/>
      <c r="R151" s="568"/>
      <c r="S151" s="568"/>
      <c r="T151" s="568"/>
      <c r="U151" s="568"/>
      <c r="V151" s="568"/>
      <c r="W151" s="568"/>
      <c r="X151" s="568"/>
    </row>
    <row r="152" spans="1:24" ht="18.600000000000001" customHeight="1">
      <c r="A152" s="461"/>
      <c r="B152" s="1577"/>
      <c r="C152" s="1413"/>
      <c r="D152" s="1578"/>
      <c r="E152" s="1413"/>
      <c r="F152" s="461"/>
      <c r="G152" s="461"/>
      <c r="H152" s="461"/>
      <c r="I152" s="1431"/>
      <c r="J152" s="1431"/>
      <c r="K152" s="1558"/>
      <c r="L152" s="461"/>
      <c r="M152" s="1576"/>
      <c r="N152" s="1413"/>
      <c r="O152" s="568"/>
      <c r="P152" s="568"/>
      <c r="Q152" s="568"/>
      <c r="R152" s="568"/>
      <c r="S152" s="568"/>
      <c r="T152" s="568"/>
      <c r="U152" s="568"/>
      <c r="V152" s="568"/>
      <c r="W152" s="568"/>
      <c r="X152" s="568"/>
    </row>
    <row r="153" spans="1:24" ht="18.600000000000001" customHeight="1">
      <c r="A153" s="461"/>
      <c r="B153" s="1897" t="s">
        <v>227</v>
      </c>
      <c r="C153" s="1897"/>
      <c r="D153" s="1897"/>
      <c r="E153" s="1897"/>
      <c r="F153" s="461"/>
      <c r="G153" s="461"/>
      <c r="H153" s="461"/>
      <c r="I153" s="461"/>
      <c r="J153" s="461"/>
      <c r="K153" s="461"/>
      <c r="L153" s="1431"/>
      <c r="M153" s="1479"/>
      <c r="N153" s="1515"/>
      <c r="O153" s="568"/>
      <c r="P153" s="568"/>
      <c r="Q153" s="568"/>
      <c r="R153" s="568"/>
      <c r="S153" s="568"/>
      <c r="T153" s="568"/>
      <c r="U153" s="568"/>
      <c r="V153" s="568"/>
      <c r="W153" s="568"/>
      <c r="X153" s="568"/>
    </row>
    <row r="154" spans="1:24" ht="18.600000000000001" customHeight="1">
      <c r="A154" s="461"/>
      <c r="B154" s="1896" t="s">
        <v>261</v>
      </c>
      <c r="C154" s="1896"/>
      <c r="D154" s="1896"/>
      <c r="E154" s="1896"/>
      <c r="F154" s="1896"/>
      <c r="G154" s="1413"/>
      <c r="H154" s="1413"/>
      <c r="I154" s="1413"/>
      <c r="J154" s="461"/>
      <c r="K154" s="461"/>
      <c r="L154" s="1431"/>
      <c r="M154" s="1482"/>
      <c r="N154" s="461"/>
      <c r="O154" s="568"/>
      <c r="P154" s="568"/>
      <c r="Q154" s="568"/>
      <c r="R154" s="568"/>
      <c r="S154" s="568"/>
      <c r="T154" s="568"/>
      <c r="U154" s="568"/>
      <c r="V154" s="568"/>
      <c r="W154" s="568"/>
      <c r="X154" s="568"/>
    </row>
    <row r="155" spans="1:24">
      <c r="A155" s="461"/>
      <c r="B155" s="1896" t="s">
        <v>252</v>
      </c>
      <c r="C155" s="1896"/>
      <c r="D155" s="1896"/>
      <c r="E155" s="1896"/>
      <c r="F155" s="1896"/>
      <c r="G155" s="1896"/>
      <c r="H155" s="1413"/>
      <c r="I155" s="1413"/>
      <c r="J155" s="1431" t="s">
        <v>10</v>
      </c>
      <c r="K155" s="1583">
        <v>10000</v>
      </c>
      <c r="L155" s="1477" t="s">
        <v>88</v>
      </c>
      <c r="M155" s="1583"/>
      <c r="N155" s="461"/>
      <c r="O155" s="568"/>
      <c r="P155" s="568"/>
      <c r="Q155" s="568"/>
      <c r="R155" s="568"/>
      <c r="S155" s="568"/>
      <c r="T155" s="568"/>
      <c r="U155" s="568"/>
      <c r="V155" s="568"/>
      <c r="W155" s="568"/>
      <c r="X155" s="568"/>
    </row>
    <row r="156" spans="1:24" ht="18.600000000000001" customHeight="1">
      <c r="A156" s="461"/>
      <c r="B156" s="1896" t="s">
        <v>272</v>
      </c>
      <c r="C156" s="1896"/>
      <c r="D156" s="1896"/>
      <c r="E156" s="1896"/>
      <c r="F156" s="1896"/>
      <c r="G156" s="1896"/>
      <c r="H156" s="1896"/>
      <c r="I156" s="1896"/>
      <c r="J156" s="1431" t="s">
        <v>10</v>
      </c>
      <c r="K156" s="1584">
        <f>'S2'!$C$104*80/$K$155</f>
        <v>2.00528</v>
      </c>
      <c r="L156" s="1477" t="s">
        <v>7</v>
      </c>
      <c r="M156" s="1584"/>
      <c r="N156" s="1515"/>
      <c r="O156" s="568"/>
      <c r="P156" s="568"/>
      <c r="Q156" s="568"/>
      <c r="R156" s="568"/>
      <c r="S156" s="568"/>
      <c r="T156" s="568"/>
      <c r="U156" s="568"/>
      <c r="V156" s="568"/>
      <c r="W156" s="568"/>
      <c r="X156" s="568"/>
    </row>
    <row r="157" spans="1:24" ht="18.600000000000001" customHeight="1">
      <c r="A157" s="461"/>
      <c r="B157" s="1896" t="s">
        <v>253</v>
      </c>
      <c r="C157" s="1896"/>
      <c r="D157" s="1896"/>
      <c r="E157" s="1896"/>
      <c r="F157" s="1896"/>
      <c r="G157" s="1896"/>
      <c r="H157" s="1413"/>
      <c r="I157" s="1413"/>
      <c r="J157" s="1431" t="s">
        <v>10</v>
      </c>
      <c r="K157" s="1583">
        <f>250000/$K$155</f>
        <v>25</v>
      </c>
      <c r="L157" s="1477" t="s">
        <v>7</v>
      </c>
      <c r="M157" s="1583"/>
      <c r="N157" s="1515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</row>
    <row r="158" spans="1:24" ht="18.600000000000001" customHeight="1">
      <c r="A158" s="461"/>
      <c r="B158" s="1896" t="s">
        <v>254</v>
      </c>
      <c r="C158" s="1896"/>
      <c r="D158" s="1896"/>
      <c r="E158" s="1896"/>
      <c r="F158" s="1896"/>
      <c r="G158" s="1413"/>
      <c r="H158" s="1413"/>
      <c r="I158" s="1413"/>
      <c r="J158" s="1431" t="s">
        <v>10</v>
      </c>
      <c r="K158" s="1585">
        <f>($F$23+$K$23)*0.052</f>
        <v>1415.8409199999999</v>
      </c>
      <c r="L158" s="1477" t="s">
        <v>7</v>
      </c>
      <c r="M158" s="1585"/>
      <c r="N158" s="461"/>
      <c r="O158" s="568"/>
      <c r="P158" s="568"/>
      <c r="Q158" s="568"/>
      <c r="R158" s="568"/>
      <c r="S158" s="568"/>
      <c r="T158" s="568"/>
      <c r="U158" s="568"/>
      <c r="V158" s="568"/>
      <c r="W158" s="568"/>
      <c r="X158" s="568"/>
    </row>
    <row r="159" spans="1:24" ht="18.600000000000001" customHeight="1">
      <c r="A159" s="461"/>
      <c r="B159" s="1896" t="s">
        <v>255</v>
      </c>
      <c r="C159" s="1896"/>
      <c r="D159" s="1896"/>
      <c r="E159" s="1896"/>
      <c r="F159" s="1896"/>
      <c r="G159" s="1413"/>
      <c r="H159" s="1413"/>
      <c r="I159" s="1413"/>
      <c r="J159" s="1431" t="s">
        <v>10</v>
      </c>
      <c r="K159" s="1585">
        <f>K122+271.69</f>
        <v>452.62</v>
      </c>
      <c r="L159" s="1477" t="s">
        <v>7</v>
      </c>
      <c r="M159" s="1585"/>
      <c r="N159" s="461"/>
      <c r="O159" s="568"/>
      <c r="P159" s="568"/>
      <c r="Q159" s="568"/>
      <c r="R159" s="568"/>
      <c r="S159" s="568"/>
      <c r="T159" s="568"/>
      <c r="U159" s="568"/>
      <c r="V159" s="568"/>
      <c r="W159" s="568"/>
      <c r="X159" s="568"/>
    </row>
    <row r="160" spans="1:24" ht="18.600000000000001" customHeight="1">
      <c r="A160" s="461"/>
      <c r="B160" s="461" t="s">
        <v>256</v>
      </c>
      <c r="C160" s="461"/>
      <c r="D160" s="461"/>
      <c r="E160" s="461"/>
      <c r="F160" s="461"/>
      <c r="G160" s="1413"/>
      <c r="H160" s="1413"/>
      <c r="I160" s="1413"/>
      <c r="J160" s="1431" t="s">
        <v>10</v>
      </c>
      <c r="K160" s="1586">
        <v>383.21</v>
      </c>
      <c r="L160" s="1477" t="s">
        <v>7</v>
      </c>
      <c r="M160" s="1585"/>
      <c r="N160" s="461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</row>
    <row r="161" spans="1:24" ht="18.600000000000001" customHeight="1">
      <c r="A161" s="461"/>
      <c r="B161" s="461" t="s">
        <v>257</v>
      </c>
      <c r="C161" s="461"/>
      <c r="D161" s="1529"/>
      <c r="E161" s="1587">
        <f>+ROUND(IF($L$9&lt;=4,(1),IF($L$9&gt;4,$L$9/4)),0)</f>
        <v>1</v>
      </c>
      <c r="F161" s="1477" t="s">
        <v>37</v>
      </c>
      <c r="G161" s="1477"/>
      <c r="H161" s="1413"/>
      <c r="I161" s="1413"/>
      <c r="J161" s="1431" t="s">
        <v>10</v>
      </c>
      <c r="K161" s="1542">
        <v>8.14</v>
      </c>
      <c r="L161" s="1477" t="s">
        <v>7</v>
      </c>
      <c r="M161" s="1478"/>
      <c r="N161" s="461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</row>
    <row r="162" spans="1:24" ht="18.600000000000001" customHeight="1">
      <c r="A162" s="461"/>
      <c r="B162" s="461" t="s">
        <v>258</v>
      </c>
      <c r="C162" s="461"/>
      <c r="D162" s="1529"/>
      <c r="E162" s="461"/>
      <c r="F162" s="1413"/>
      <c r="G162" s="1413"/>
      <c r="H162" s="1413"/>
      <c r="I162" s="1413"/>
      <c r="J162" s="1431" t="s">
        <v>10</v>
      </c>
      <c r="K162" s="1478">
        <f>SUM(K156:K161)</f>
        <v>2286.8161999999998</v>
      </c>
      <c r="L162" s="1477" t="s">
        <v>7</v>
      </c>
      <c r="M162" s="1478"/>
      <c r="N162" s="461"/>
      <c r="O162" s="568"/>
      <c r="P162" s="568"/>
      <c r="Q162" s="568"/>
      <c r="R162" s="568"/>
      <c r="S162" s="568"/>
      <c r="T162" s="568"/>
      <c r="U162" s="568"/>
      <c r="V162" s="568"/>
      <c r="W162" s="568"/>
      <c r="X162" s="568"/>
    </row>
    <row r="163" spans="1:24" ht="18.600000000000001" customHeight="1">
      <c r="A163" s="461"/>
      <c r="B163" s="461" t="s">
        <v>259</v>
      </c>
      <c r="C163" s="461"/>
      <c r="D163" s="461"/>
      <c r="E163" s="1416">
        <v>5</v>
      </c>
      <c r="F163" s="461" t="s">
        <v>260</v>
      </c>
      <c r="G163" s="1588">
        <f>41.667/$E$163</f>
        <v>8.333400000000001</v>
      </c>
      <c r="H163" s="461" t="s">
        <v>50</v>
      </c>
      <c r="I163" s="461"/>
      <c r="J163" s="1431" t="s">
        <v>10</v>
      </c>
      <c r="K163" s="1589">
        <f>ROUND($K$162/$G$163,2)</f>
        <v>274.42</v>
      </c>
      <c r="L163" s="1477" t="s">
        <v>115</v>
      </c>
      <c r="M163" s="1478"/>
      <c r="N163" s="461"/>
      <c r="O163" s="568"/>
      <c r="P163" s="568"/>
      <c r="Q163" s="568"/>
      <c r="R163" s="568"/>
      <c r="S163" s="568"/>
      <c r="T163" s="568"/>
      <c r="U163" s="568"/>
      <c r="V163" s="568"/>
      <c r="W163" s="568"/>
      <c r="X163" s="568"/>
    </row>
    <row r="164" spans="1:24" ht="18.600000000000001" customHeight="1">
      <c r="A164" s="461"/>
      <c r="B164" s="1590"/>
      <c r="C164" s="1590"/>
      <c r="D164" s="1590"/>
      <c r="E164" s="1590"/>
      <c r="F164" s="461"/>
      <c r="G164" s="461"/>
      <c r="H164" s="461" t="s">
        <v>121</v>
      </c>
      <c r="I164" s="461"/>
      <c r="J164" s="461"/>
      <c r="K164" s="461"/>
      <c r="L164" s="1431"/>
      <c r="M164" s="1479"/>
      <c r="N164" s="1515"/>
      <c r="O164" s="568"/>
      <c r="P164" s="568"/>
      <c r="Q164" s="568"/>
      <c r="R164" s="568"/>
      <c r="S164" s="568"/>
      <c r="T164" s="568"/>
      <c r="U164" s="568"/>
      <c r="V164" s="568"/>
      <c r="W164" s="568"/>
      <c r="X164" s="568"/>
    </row>
    <row r="165" spans="1:24" ht="18.600000000000001" customHeight="1">
      <c r="A165" s="461"/>
      <c r="B165" s="1896" t="s">
        <v>262</v>
      </c>
      <c r="C165" s="1896"/>
      <c r="D165" s="1896"/>
      <c r="E165" s="1896"/>
      <c r="F165" s="1896"/>
      <c r="G165" s="1413"/>
      <c r="H165" s="1413"/>
      <c r="I165" s="1413"/>
      <c r="J165" s="461"/>
      <c r="K165" s="461"/>
      <c r="L165" s="1431"/>
      <c r="M165" s="1482"/>
      <c r="N165" s="461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</row>
    <row r="166" spans="1:24">
      <c r="A166" s="461"/>
      <c r="B166" s="1896" t="s">
        <v>252</v>
      </c>
      <c r="C166" s="1896"/>
      <c r="D166" s="1896"/>
      <c r="E166" s="1896"/>
      <c r="F166" s="1896"/>
      <c r="G166" s="1896"/>
      <c r="H166" s="1413"/>
      <c r="I166" s="1413"/>
      <c r="J166" s="1431" t="s">
        <v>10</v>
      </c>
      <c r="K166" s="1583">
        <v>15000</v>
      </c>
      <c r="L166" s="1477" t="s">
        <v>88</v>
      </c>
      <c r="M166" s="1583"/>
      <c r="N166" s="461"/>
      <c r="O166" s="568"/>
      <c r="P166" s="568"/>
      <c r="Q166" s="568"/>
      <c r="R166" s="568"/>
      <c r="S166" s="568"/>
      <c r="T166" s="568"/>
      <c r="U166" s="568"/>
      <c r="V166" s="568"/>
      <c r="W166" s="568"/>
      <c r="X166" s="568"/>
    </row>
    <row r="167" spans="1:24" ht="18.600000000000001" customHeight="1">
      <c r="A167" s="461"/>
      <c r="B167" s="1896" t="s">
        <v>272</v>
      </c>
      <c r="C167" s="1896"/>
      <c r="D167" s="1896"/>
      <c r="E167" s="1896"/>
      <c r="F167" s="1896"/>
      <c r="G167" s="1896"/>
      <c r="H167" s="1896"/>
      <c r="I167" s="1896"/>
      <c r="J167" s="1431" t="s">
        <v>10</v>
      </c>
      <c r="K167" s="1584">
        <f>'S2'!$C$104*80/$K$166</f>
        <v>1.3368533333333332</v>
      </c>
      <c r="L167" s="1477" t="s">
        <v>7</v>
      </c>
      <c r="M167" s="1584"/>
      <c r="N167" s="1515"/>
      <c r="O167" s="568"/>
      <c r="P167" s="568"/>
      <c r="Q167" s="568"/>
      <c r="R167" s="568"/>
      <c r="S167" s="568"/>
      <c r="T167" s="568"/>
      <c r="U167" s="568"/>
      <c r="V167" s="568"/>
      <c r="W167" s="568"/>
      <c r="X167" s="568"/>
    </row>
    <row r="168" spans="1:24" ht="18.600000000000001" customHeight="1">
      <c r="A168" s="461"/>
      <c r="B168" s="1896" t="s">
        <v>253</v>
      </c>
      <c r="C168" s="1896"/>
      <c r="D168" s="1896"/>
      <c r="E168" s="1896"/>
      <c r="F168" s="1896"/>
      <c r="G168" s="1896"/>
      <c r="H168" s="1413"/>
      <c r="I168" s="1413"/>
      <c r="J168" s="1431" t="s">
        <v>10</v>
      </c>
      <c r="K168" s="1583">
        <f>250000/$K$166</f>
        <v>16.666666666666668</v>
      </c>
      <c r="L168" s="1477" t="s">
        <v>7</v>
      </c>
      <c r="M168" s="1583"/>
      <c r="N168" s="1515"/>
      <c r="O168" s="568"/>
      <c r="P168" s="568"/>
      <c r="Q168" s="568"/>
      <c r="R168" s="568"/>
      <c r="S168" s="568"/>
      <c r="T168" s="568"/>
      <c r="U168" s="568"/>
      <c r="V168" s="568"/>
      <c r="W168" s="568"/>
      <c r="X168" s="568"/>
    </row>
    <row r="169" spans="1:24">
      <c r="A169" s="461"/>
      <c r="B169" s="1896" t="s">
        <v>254</v>
      </c>
      <c r="C169" s="1896"/>
      <c r="D169" s="1896"/>
      <c r="E169" s="1896"/>
      <c r="F169" s="1896"/>
      <c r="G169" s="1413"/>
      <c r="H169" s="1413"/>
      <c r="I169" s="1413"/>
      <c r="J169" s="1431" t="s">
        <v>10</v>
      </c>
      <c r="K169" s="1585">
        <f>($F$23+$K$23)*0.052</f>
        <v>1415.8409199999999</v>
      </c>
      <c r="L169" s="1477" t="s">
        <v>7</v>
      </c>
      <c r="M169" s="1585"/>
      <c r="N169" s="461"/>
      <c r="O169" s="568"/>
      <c r="P169" s="568"/>
      <c r="Q169" s="568"/>
      <c r="R169" s="568"/>
      <c r="S169" s="568"/>
      <c r="T169" s="568"/>
      <c r="U169" s="568"/>
      <c r="V169" s="568"/>
      <c r="W169" s="568"/>
      <c r="X169" s="568"/>
    </row>
    <row r="170" spans="1:24">
      <c r="A170" s="461"/>
      <c r="B170" s="1896" t="s">
        <v>255</v>
      </c>
      <c r="C170" s="1896"/>
      <c r="D170" s="1896"/>
      <c r="E170" s="1896"/>
      <c r="F170" s="1896"/>
      <c r="G170" s="1413"/>
      <c r="H170" s="1413"/>
      <c r="I170" s="1413"/>
      <c r="J170" s="1431" t="s">
        <v>10</v>
      </c>
      <c r="K170" s="1585">
        <f>K159</f>
        <v>452.62</v>
      </c>
      <c r="L170" s="1477" t="s">
        <v>7</v>
      </c>
      <c r="M170" s="1585"/>
      <c r="N170" s="1515"/>
      <c r="O170" s="568"/>
      <c r="P170" s="568"/>
      <c r="Q170" s="568"/>
      <c r="R170" s="568"/>
      <c r="S170" s="568"/>
      <c r="T170" s="568"/>
      <c r="U170" s="568"/>
      <c r="V170" s="568"/>
      <c r="W170" s="568"/>
      <c r="X170" s="568"/>
    </row>
    <row r="171" spans="1:24" s="1592" customFormat="1" ht="18.600000000000001" customHeight="1">
      <c r="A171" s="461"/>
      <c r="B171" s="461" t="s">
        <v>256</v>
      </c>
      <c r="C171" s="461"/>
      <c r="D171" s="461"/>
      <c r="E171" s="461"/>
      <c r="F171" s="461"/>
      <c r="G171" s="1413"/>
      <c r="H171" s="1413"/>
      <c r="I171" s="1413"/>
      <c r="J171" s="1431" t="s">
        <v>10</v>
      </c>
      <c r="K171" s="1585">
        <f>K160</f>
        <v>383.21</v>
      </c>
      <c r="L171" s="1477" t="s">
        <v>7</v>
      </c>
      <c r="M171" s="1585"/>
      <c r="N171" s="461"/>
      <c r="O171" s="1591"/>
    </row>
    <row r="172" spans="1:24" s="1592" customFormat="1" ht="18.600000000000001" customHeight="1">
      <c r="A172" s="461"/>
      <c r="B172" s="461" t="s">
        <v>257</v>
      </c>
      <c r="C172" s="461"/>
      <c r="D172" s="1529"/>
      <c r="E172" s="1431">
        <f>$E$161</f>
        <v>1</v>
      </c>
      <c r="F172" s="1593" t="str">
        <f>F161</f>
        <v>กม.</v>
      </c>
      <c r="G172" s="1477"/>
      <c r="H172" s="1413"/>
      <c r="I172" s="1413"/>
      <c r="J172" s="1431" t="s">
        <v>10</v>
      </c>
      <c r="K172" s="1478">
        <f>K161</f>
        <v>8.14</v>
      </c>
      <c r="L172" s="1477" t="s">
        <v>7</v>
      </c>
      <c r="M172" s="1478"/>
      <c r="N172" s="461"/>
      <c r="O172" s="1591"/>
      <c r="P172" s="1591"/>
    </row>
    <row r="173" spans="1:24" s="1592" customFormat="1" ht="18.600000000000001" customHeight="1">
      <c r="A173" s="461"/>
      <c r="B173" s="461" t="s">
        <v>258</v>
      </c>
      <c r="C173" s="461"/>
      <c r="D173" s="1529"/>
      <c r="E173" s="461"/>
      <c r="F173" s="1422"/>
      <c r="G173" s="1413"/>
      <c r="H173" s="1413"/>
      <c r="I173" s="1413"/>
      <c r="J173" s="1431" t="s">
        <v>10</v>
      </c>
      <c r="K173" s="1478">
        <f>SUM(K167:K172)</f>
        <v>2277.8144399999996</v>
      </c>
      <c r="L173" s="1477" t="s">
        <v>7</v>
      </c>
      <c r="M173" s="1478"/>
      <c r="N173" s="461"/>
      <c r="O173" s="1591"/>
      <c r="P173" s="1591"/>
    </row>
    <row r="174" spans="1:24" s="1592" customFormat="1" ht="18.600000000000001" customHeight="1">
      <c r="A174" s="461"/>
      <c r="B174" s="461" t="s">
        <v>259</v>
      </c>
      <c r="C174" s="461"/>
      <c r="D174" s="461"/>
      <c r="E174" s="1431">
        <v>4</v>
      </c>
      <c r="F174" s="1577" t="str">
        <f>F163</f>
        <v xml:space="preserve"> ซม.                (</v>
      </c>
      <c r="G174" s="1588">
        <f>41.667/$E$174</f>
        <v>10.41675</v>
      </c>
      <c r="H174" s="461" t="s">
        <v>50</v>
      </c>
      <c r="I174" s="461"/>
      <c r="J174" s="1431" t="s">
        <v>10</v>
      </c>
      <c r="K174" s="1589">
        <f>ROUND($K$173/$G$174,2)</f>
        <v>218.67</v>
      </c>
      <c r="L174" s="1477" t="s">
        <v>115</v>
      </c>
      <c r="M174" s="1478"/>
      <c r="N174" s="461"/>
      <c r="O174" s="1591"/>
      <c r="P174" s="1591"/>
    </row>
    <row r="175" spans="1:24" s="1592" customFormat="1" ht="18.600000000000001" customHeight="1">
      <c r="A175" s="461"/>
      <c r="B175" s="461"/>
      <c r="C175" s="461"/>
      <c r="D175" s="1529"/>
      <c r="E175" s="461"/>
      <c r="F175" s="1530"/>
      <c r="G175" s="1594" t="s">
        <v>121</v>
      </c>
      <c r="H175" s="461"/>
      <c r="I175" s="461"/>
      <c r="J175" s="1431" t="s">
        <v>10</v>
      </c>
      <c r="K175" s="1595" t="e">
        <f>IF(((#REF!+#REF!+#REF!+#REF!)*$E$163*0.024)&lt;10000,$K$163,IF(((#REF!+#REF!+#REF!+#REF!)*$E$163*0.024)&gt;10000,K174))</f>
        <v>#REF!</v>
      </c>
      <c r="L175" s="1477" t="s">
        <v>115</v>
      </c>
      <c r="M175" s="1596"/>
      <c r="N175" s="1515"/>
      <c r="O175" s="1591"/>
      <c r="P175" s="1591"/>
    </row>
    <row r="176" spans="1:24" s="1592" customFormat="1" ht="18.600000000000001" customHeight="1">
      <c r="A176" s="461"/>
      <c r="B176" s="461" t="s">
        <v>1173</v>
      </c>
      <c r="C176" s="461"/>
      <c r="D176" s="461"/>
      <c r="E176" s="461"/>
      <c r="F176" s="461"/>
      <c r="G176" s="1413"/>
      <c r="H176" s="1413"/>
      <c r="I176" s="1413"/>
      <c r="J176" s="461"/>
      <c r="K176" s="461"/>
      <c r="L176" s="1431"/>
      <c r="M176" s="1482"/>
      <c r="N176" s="461"/>
      <c r="O176" s="1591"/>
      <c r="P176" s="1591"/>
    </row>
    <row r="177" spans="1:24" s="1592" customFormat="1" ht="18.600000000000001" customHeight="1">
      <c r="A177" s="461"/>
      <c r="B177" s="461" t="s">
        <v>1174</v>
      </c>
      <c r="C177" s="461"/>
      <c r="D177" s="461"/>
      <c r="E177" s="461"/>
      <c r="F177" s="461"/>
      <c r="G177" s="461"/>
      <c r="H177" s="1413"/>
      <c r="I177" s="1413"/>
      <c r="J177" s="1431" t="s">
        <v>10</v>
      </c>
      <c r="K177" s="1583">
        <v>10000</v>
      </c>
      <c r="L177" s="1477" t="s">
        <v>88</v>
      </c>
      <c r="M177" s="1583"/>
      <c r="N177" s="461"/>
      <c r="O177" s="1591"/>
      <c r="P177" s="1591"/>
    </row>
    <row r="178" spans="1:24" s="1592" customFormat="1" ht="18.600000000000001" customHeight="1">
      <c r="A178" s="461"/>
      <c r="B178" s="461" t="s">
        <v>272</v>
      </c>
      <c r="C178" s="461"/>
      <c r="D178" s="461"/>
      <c r="E178" s="461"/>
      <c r="F178" s="461"/>
      <c r="G178" s="461"/>
      <c r="H178" s="461"/>
      <c r="I178" s="461"/>
      <c r="J178" s="1431" t="s">
        <v>10</v>
      </c>
      <c r="K178" s="1584">
        <f>'S2'!$C$104*80/$K$177</f>
        <v>2.00528</v>
      </c>
      <c r="L178" s="1477" t="s">
        <v>7</v>
      </c>
      <c r="M178" s="1584"/>
      <c r="N178" s="1515"/>
      <c r="O178" s="1591"/>
      <c r="P178" s="1591"/>
    </row>
    <row r="179" spans="1:24" ht="18.600000000000001" customHeight="1">
      <c r="A179" s="461"/>
      <c r="B179" s="461" t="s">
        <v>253</v>
      </c>
      <c r="C179" s="461"/>
      <c r="D179" s="461"/>
      <c r="E179" s="461"/>
      <c r="F179" s="461"/>
      <c r="G179" s="461"/>
      <c r="H179" s="1413"/>
      <c r="I179" s="1413"/>
      <c r="J179" s="1431" t="s">
        <v>10</v>
      </c>
      <c r="K179" s="1451">
        <f>250000/$K$177</f>
        <v>25</v>
      </c>
      <c r="L179" s="1477" t="s">
        <v>7</v>
      </c>
      <c r="M179" s="1583"/>
      <c r="N179" s="1515"/>
      <c r="O179" s="568"/>
      <c r="P179" s="568"/>
      <c r="Q179" s="568"/>
      <c r="R179" s="568"/>
      <c r="S179" s="568"/>
      <c r="T179" s="568"/>
      <c r="U179" s="568"/>
      <c r="V179" s="568"/>
      <c r="W179" s="568"/>
      <c r="X179" s="568"/>
    </row>
    <row r="180" spans="1:24">
      <c r="A180" s="461"/>
      <c r="B180" s="461" t="s">
        <v>254</v>
      </c>
      <c r="C180" s="461"/>
      <c r="D180" s="461"/>
      <c r="E180" s="461"/>
      <c r="F180" s="461"/>
      <c r="G180" s="1413"/>
      <c r="H180" s="1413"/>
      <c r="I180" s="1413"/>
      <c r="J180" s="1431" t="s">
        <v>10</v>
      </c>
      <c r="K180" s="1585">
        <f>($F$25+$K$25)*0.052</f>
        <v>11.840920000000001</v>
      </c>
      <c r="L180" s="1477" t="s">
        <v>7</v>
      </c>
      <c r="M180" s="1585"/>
      <c r="N180" s="461"/>
      <c r="O180" s="568"/>
      <c r="P180" s="568"/>
      <c r="Q180" s="568"/>
      <c r="R180" s="568"/>
      <c r="S180" s="568"/>
      <c r="T180" s="568"/>
      <c r="U180" s="568"/>
      <c r="V180" s="568"/>
      <c r="W180" s="568"/>
      <c r="X180" s="568"/>
    </row>
    <row r="181" spans="1:24">
      <c r="A181" s="461"/>
      <c r="B181" s="461" t="s">
        <v>255</v>
      </c>
      <c r="C181" s="461"/>
      <c r="D181" s="461"/>
      <c r="E181" s="461"/>
      <c r="F181" s="461"/>
      <c r="G181" s="1413"/>
      <c r="H181" s="1413"/>
      <c r="I181" s="1413"/>
      <c r="J181" s="1431" t="s">
        <v>10</v>
      </c>
      <c r="K181" s="1585">
        <f>($F$17+$K$17)*0.74</f>
        <v>503.41607999999991</v>
      </c>
      <c r="L181" s="1477" t="s">
        <v>7</v>
      </c>
      <c r="M181" s="1585"/>
      <c r="N181" s="461"/>
      <c r="O181" s="568"/>
      <c r="P181" s="568"/>
      <c r="Q181" s="568"/>
      <c r="R181" s="568"/>
      <c r="S181" s="568"/>
      <c r="T181" s="568"/>
      <c r="U181" s="568"/>
      <c r="V181" s="568"/>
      <c r="W181" s="568"/>
      <c r="X181" s="568"/>
    </row>
    <row r="182" spans="1:24">
      <c r="A182" s="461"/>
      <c r="B182" s="461" t="s">
        <v>1175</v>
      </c>
      <c r="C182" s="461"/>
      <c r="D182" s="461"/>
      <c r="E182" s="461"/>
      <c r="F182" s="461"/>
      <c r="G182" s="1413"/>
      <c r="H182" s="1413"/>
      <c r="I182" s="1413"/>
      <c r="J182" s="1431" t="s">
        <v>10</v>
      </c>
      <c r="K182" s="1585">
        <f>'S2'!BF21</f>
        <v>383.21</v>
      </c>
      <c r="L182" s="1477" t="s">
        <v>7</v>
      </c>
      <c r="M182" s="1585"/>
      <c r="N182" s="461"/>
      <c r="O182" s="568"/>
      <c r="P182" s="568"/>
      <c r="Q182" s="568"/>
      <c r="R182" s="568"/>
      <c r="S182" s="568"/>
      <c r="T182" s="568"/>
      <c r="U182" s="568"/>
      <c r="V182" s="568"/>
      <c r="W182" s="568"/>
      <c r="X182" s="568"/>
    </row>
    <row r="183" spans="1:24">
      <c r="A183" s="461"/>
      <c r="B183" s="461" t="s">
        <v>1176</v>
      </c>
      <c r="C183" s="461"/>
      <c r="D183" s="1529"/>
      <c r="E183" s="1587" t="e">
        <f>+ROUND(IF(#REF!&lt;=4,(1),IF(#REF!&gt;4,#REF!/4)),0)</f>
        <v>#REF!</v>
      </c>
      <c r="F183" s="1477" t="s">
        <v>37</v>
      </c>
      <c r="G183" s="1477"/>
      <c r="H183" s="1413"/>
      <c r="I183" s="1413"/>
      <c r="J183" s="1431" t="s">
        <v>10</v>
      </c>
      <c r="K183" s="1478" t="e">
        <f>IF($E$183&lt;=200,VLOOKUP($E$183,'S2'!$B$5:'S2'!$D$204,2),IF($E$183&gt;200,($E$183-200)*'S2'!$C$205+'S2'!$C$204))</f>
        <v>#REF!</v>
      </c>
      <c r="L183" s="1477" t="s">
        <v>7</v>
      </c>
      <c r="M183" s="1478"/>
      <c r="N183" s="461"/>
      <c r="O183" s="568"/>
      <c r="P183" s="568"/>
      <c r="Q183" s="568"/>
      <c r="R183" s="568"/>
      <c r="S183" s="568"/>
      <c r="T183" s="568"/>
      <c r="U183" s="568"/>
      <c r="V183" s="568"/>
      <c r="W183" s="568"/>
      <c r="X183" s="568"/>
    </row>
    <row r="184" spans="1:24">
      <c r="A184" s="461"/>
      <c r="B184" s="461" t="s">
        <v>258</v>
      </c>
      <c r="C184" s="461"/>
      <c r="D184" s="1529"/>
      <c r="E184" s="461"/>
      <c r="F184" s="1413"/>
      <c r="G184" s="1413"/>
      <c r="H184" s="1413"/>
      <c r="I184" s="1413"/>
      <c r="J184" s="1431" t="s">
        <v>10</v>
      </c>
      <c r="K184" s="1478" t="e">
        <f>SUM(K178:K183)</f>
        <v>#REF!</v>
      </c>
      <c r="L184" s="1477" t="s">
        <v>7</v>
      </c>
      <c r="M184" s="1478"/>
      <c r="N184" s="461"/>
      <c r="O184" s="568"/>
      <c r="P184" s="568"/>
      <c r="Q184" s="568"/>
      <c r="R184" s="568"/>
      <c r="S184" s="568"/>
      <c r="T184" s="568"/>
      <c r="U184" s="568"/>
      <c r="V184" s="568"/>
      <c r="W184" s="568"/>
      <c r="X184" s="568"/>
    </row>
    <row r="185" spans="1:24">
      <c r="A185" s="461"/>
      <c r="B185" s="461" t="s">
        <v>259</v>
      </c>
      <c r="C185" s="461"/>
      <c r="D185" s="461"/>
      <c r="E185" s="1416">
        <v>4</v>
      </c>
      <c r="F185" s="461" t="s">
        <v>260</v>
      </c>
      <c r="G185" s="1588">
        <f>41.667/$E$163</f>
        <v>8.333400000000001</v>
      </c>
      <c r="H185" s="461" t="s">
        <v>50</v>
      </c>
      <c r="I185" s="461"/>
      <c r="J185" s="1431" t="s">
        <v>10</v>
      </c>
      <c r="K185" s="1478" t="e">
        <f>ROUND($K$184/$G$185,2)</f>
        <v>#REF!</v>
      </c>
      <c r="L185" s="1477" t="s">
        <v>115</v>
      </c>
      <c r="M185" s="1478"/>
      <c r="N185" s="461"/>
      <c r="O185" s="568"/>
      <c r="P185" s="568"/>
      <c r="Q185" s="568"/>
      <c r="R185" s="568"/>
      <c r="S185" s="568"/>
      <c r="T185" s="568"/>
      <c r="U185" s="568"/>
      <c r="V185" s="568"/>
      <c r="W185" s="568"/>
      <c r="X185" s="568"/>
    </row>
    <row r="186" spans="1:24">
      <c r="A186" s="461"/>
      <c r="B186" s="1411"/>
      <c r="C186" s="1411"/>
      <c r="D186" s="1411"/>
      <c r="E186" s="1590"/>
      <c r="F186" s="461"/>
      <c r="G186" s="461"/>
      <c r="H186" s="461"/>
      <c r="I186" s="461"/>
      <c r="J186" s="461"/>
      <c r="K186" s="461"/>
      <c r="L186" s="1431"/>
      <c r="M186" s="1479"/>
      <c r="N186" s="1515"/>
      <c r="O186" s="568"/>
      <c r="P186" s="568"/>
      <c r="Q186" s="568"/>
      <c r="R186" s="568"/>
      <c r="S186" s="568"/>
      <c r="T186" s="568"/>
      <c r="U186" s="568"/>
      <c r="V186" s="568"/>
      <c r="W186" s="568"/>
      <c r="X186" s="568"/>
    </row>
    <row r="187" spans="1:24">
      <c r="A187" s="461"/>
      <c r="B187" s="461" t="s">
        <v>1177</v>
      </c>
      <c r="C187" s="461"/>
      <c r="D187" s="461"/>
      <c r="E187" s="461"/>
      <c r="F187" s="461"/>
      <c r="G187" s="1413"/>
      <c r="H187" s="1413"/>
      <c r="I187" s="1413"/>
      <c r="J187" s="461"/>
      <c r="K187" s="461"/>
      <c r="L187" s="1431"/>
      <c r="M187" s="1482"/>
      <c r="N187" s="461"/>
      <c r="P187" s="1597"/>
    </row>
    <row r="188" spans="1:24">
      <c r="A188" s="461"/>
      <c r="B188" s="461" t="s">
        <v>1174</v>
      </c>
      <c r="C188" s="461"/>
      <c r="D188" s="461"/>
      <c r="E188" s="461"/>
      <c r="F188" s="461"/>
      <c r="G188" s="461"/>
      <c r="H188" s="1413"/>
      <c r="I188" s="1413"/>
      <c r="J188" s="1431" t="s">
        <v>10</v>
      </c>
      <c r="K188" s="1583" t="e">
        <f>(#REF!+#REF!+#REF!+#REF!)/'1.ข้อมูล'!$G$185</f>
        <v>#REF!</v>
      </c>
      <c r="L188" s="1477" t="s">
        <v>88</v>
      </c>
      <c r="M188" s="1583"/>
      <c r="N188" s="461"/>
      <c r="P188" s="1597"/>
    </row>
    <row r="189" spans="1:24">
      <c r="A189" s="461"/>
      <c r="B189" s="461" t="s">
        <v>272</v>
      </c>
      <c r="C189" s="461"/>
      <c r="D189" s="461"/>
      <c r="E189" s="461"/>
      <c r="F189" s="461"/>
      <c r="G189" s="461"/>
      <c r="H189" s="461"/>
      <c r="I189" s="461"/>
      <c r="J189" s="1431" t="s">
        <v>10</v>
      </c>
      <c r="K189" s="1584" t="e">
        <f>'S2'!$C$104*80/$K$188</f>
        <v>#REF!</v>
      </c>
      <c r="L189" s="1477" t="s">
        <v>7</v>
      </c>
      <c r="M189" s="1584"/>
      <c r="N189" s="1515"/>
      <c r="P189" s="1597"/>
      <c r="S189" s="1598"/>
    </row>
    <row r="190" spans="1:24">
      <c r="A190" s="461"/>
      <c r="B190" s="461" t="s">
        <v>253</v>
      </c>
      <c r="C190" s="461"/>
      <c r="D190" s="461"/>
      <c r="E190" s="461"/>
      <c r="F190" s="461"/>
      <c r="G190" s="461"/>
      <c r="H190" s="1413"/>
      <c r="I190" s="1413"/>
      <c r="J190" s="1431" t="s">
        <v>10</v>
      </c>
      <c r="K190" s="1583" t="e">
        <f>250000/$K$188</f>
        <v>#REF!</v>
      </c>
      <c r="L190" s="1477" t="s">
        <v>7</v>
      </c>
      <c r="M190" s="1583"/>
      <c r="N190" s="1515"/>
      <c r="P190" s="1597"/>
    </row>
    <row r="191" spans="1:24">
      <c r="A191" s="461"/>
      <c r="B191" s="461" t="s">
        <v>254</v>
      </c>
      <c r="C191" s="461"/>
      <c r="D191" s="461"/>
      <c r="E191" s="461"/>
      <c r="F191" s="461"/>
      <c r="G191" s="1413"/>
      <c r="H191" s="1413"/>
      <c r="I191" s="1413"/>
      <c r="J191" s="1431" t="s">
        <v>10</v>
      </c>
      <c r="K191" s="1585">
        <f>($F$25+$K$25)*0.052</f>
        <v>11.840920000000001</v>
      </c>
      <c r="L191" s="1477" t="s">
        <v>7</v>
      </c>
      <c r="M191" s="1585"/>
      <c r="N191" s="461"/>
      <c r="P191" s="1597"/>
    </row>
    <row r="192" spans="1:24">
      <c r="A192" s="461"/>
      <c r="B192" s="461" t="s">
        <v>255</v>
      </c>
      <c r="C192" s="461"/>
      <c r="D192" s="461"/>
      <c r="E192" s="461"/>
      <c r="F192" s="461"/>
      <c r="G192" s="1413"/>
      <c r="H192" s="1413"/>
      <c r="I192" s="1413"/>
      <c r="J192" s="1431" t="s">
        <v>10</v>
      </c>
      <c r="K192" s="1585">
        <f>($F$17+$K$17)*0.74</f>
        <v>503.41607999999991</v>
      </c>
      <c r="L192" s="1477" t="s">
        <v>7</v>
      </c>
      <c r="M192" s="1585"/>
      <c r="N192" s="1515"/>
      <c r="P192" s="1597"/>
    </row>
    <row r="193" spans="1:22">
      <c r="A193" s="461"/>
      <c r="B193" s="461" t="s">
        <v>1175</v>
      </c>
      <c r="C193" s="461"/>
      <c r="D193" s="461"/>
      <c r="E193" s="461"/>
      <c r="F193" s="461"/>
      <c r="G193" s="1413"/>
      <c r="H193" s="1413"/>
      <c r="I193" s="1413"/>
      <c r="J193" s="1431" t="s">
        <v>10</v>
      </c>
      <c r="K193" s="1585">
        <f>'S2'!$BF$21</f>
        <v>383.21</v>
      </c>
      <c r="L193" s="1477" t="s">
        <v>7</v>
      </c>
      <c r="M193" s="1585"/>
      <c r="N193" s="1515"/>
      <c r="P193" s="1597"/>
      <c r="V193" s="160"/>
    </row>
    <row r="194" spans="1:22">
      <c r="A194" s="461"/>
      <c r="B194" s="461" t="s">
        <v>1176</v>
      </c>
      <c r="C194" s="461"/>
      <c r="D194" s="1529"/>
      <c r="E194" s="1431">
        <f>$E$161</f>
        <v>1</v>
      </c>
      <c r="F194" s="1593" t="str">
        <f>F183</f>
        <v>กม.</v>
      </c>
      <c r="G194" s="1477"/>
      <c r="H194" s="1413"/>
      <c r="I194" s="1413"/>
      <c r="J194" s="1431" t="s">
        <v>10</v>
      </c>
      <c r="K194" s="1478">
        <f>IF($E$194&lt;=200,VLOOKUP($E$194,'S2'!$B$5:'S2'!$D$204,2),IF($E$194&gt;200,($E$194-200)*'S2'!$C$205+'S2'!$C$204))</f>
        <v>8.14</v>
      </c>
      <c r="L194" s="1477" t="s">
        <v>7</v>
      </c>
      <c r="M194" s="1478"/>
      <c r="N194" s="1591"/>
      <c r="V194" s="160"/>
    </row>
    <row r="195" spans="1:22">
      <c r="A195" s="461"/>
      <c r="B195" s="461" t="s">
        <v>258</v>
      </c>
      <c r="C195" s="461"/>
      <c r="D195" s="1529"/>
      <c r="E195" s="461"/>
      <c r="F195" s="1422"/>
      <c r="G195" s="1413"/>
      <c r="H195" s="1413"/>
      <c r="I195" s="1413"/>
      <c r="J195" s="1431" t="s">
        <v>10</v>
      </c>
      <c r="K195" s="1478" t="e">
        <f>SUM(K189:K194)</f>
        <v>#REF!</v>
      </c>
      <c r="L195" s="1477" t="s">
        <v>7</v>
      </c>
      <c r="M195" s="1478"/>
      <c r="N195" s="1592"/>
      <c r="V195" s="160"/>
    </row>
    <row r="196" spans="1:22">
      <c r="A196" s="461"/>
      <c r="B196" s="461" t="s">
        <v>259</v>
      </c>
      <c r="C196" s="461"/>
      <c r="D196" s="461"/>
      <c r="E196" s="1431">
        <f>$E$185</f>
        <v>4</v>
      </c>
      <c r="F196" s="1577" t="str">
        <f>F185</f>
        <v xml:space="preserve"> ซม.                (</v>
      </c>
      <c r="G196" s="1588">
        <f>41.667/$E$185</f>
        <v>10.41675</v>
      </c>
      <c r="H196" s="461" t="s">
        <v>50</v>
      </c>
      <c r="I196" s="461"/>
      <c r="J196" s="1431" t="s">
        <v>10</v>
      </c>
      <c r="K196" s="1478" t="e">
        <f>ROUND($K$195/$G$196,2)</f>
        <v>#REF!</v>
      </c>
      <c r="L196" s="1477" t="s">
        <v>115</v>
      </c>
      <c r="M196" s="1478"/>
      <c r="N196" s="1592"/>
      <c r="V196" s="160"/>
    </row>
    <row r="197" spans="1:22">
      <c r="A197" s="461"/>
      <c r="B197" s="461"/>
      <c r="C197" s="461"/>
      <c r="D197" s="1529"/>
      <c r="E197" s="461"/>
      <c r="F197" s="1530"/>
      <c r="G197" s="1594" t="s">
        <v>121</v>
      </c>
      <c r="H197" s="461"/>
      <c r="I197" s="461"/>
      <c r="J197" s="1431" t="s">
        <v>10</v>
      </c>
      <c r="K197" s="1596" t="e">
        <f>IF(((#REF!+#REF!+#REF!+#REF!)*$E$185*0.024)&lt;10000,$K$185,IF(((#REF!+#REF!+#REF!+#REF!)*$E$185*0.024)&gt;10000,K196))</f>
        <v>#REF!</v>
      </c>
      <c r="L197" s="1477" t="s">
        <v>115</v>
      </c>
      <c r="M197" s="1596"/>
      <c r="N197" s="1592"/>
      <c r="V197" s="160"/>
    </row>
    <row r="198" spans="1:22">
      <c r="A198" s="461"/>
      <c r="B198" s="461"/>
      <c r="C198" s="461"/>
      <c r="D198" s="1529"/>
      <c r="E198" s="461"/>
      <c r="F198" s="1530"/>
      <c r="G198" s="1594"/>
      <c r="H198" s="461"/>
      <c r="I198" s="461"/>
      <c r="J198" s="1431"/>
      <c r="K198" s="1596"/>
      <c r="L198" s="1477"/>
      <c r="M198" s="1596"/>
      <c r="N198" s="1592"/>
      <c r="V198" s="160"/>
    </row>
    <row r="199" spans="1:22">
      <c r="A199" s="1592"/>
      <c r="B199" s="1411" t="s">
        <v>1391</v>
      </c>
      <c r="C199" s="1592"/>
      <c r="D199" s="1599"/>
      <c r="E199" s="1600"/>
      <c r="F199" s="1599"/>
      <c r="G199" s="1600"/>
      <c r="H199" s="1600"/>
      <c r="I199" s="1601"/>
      <c r="J199" s="1600"/>
      <c r="K199" s="1602"/>
      <c r="L199" s="1592"/>
      <c r="M199" s="1603"/>
      <c r="N199" s="1592"/>
      <c r="V199" s="160"/>
    </row>
    <row r="200" spans="1:22">
      <c r="A200" s="1592"/>
      <c r="B200" s="1592" t="s">
        <v>670</v>
      </c>
      <c r="C200" s="1592"/>
      <c r="D200" s="1592"/>
      <c r="E200" s="1600"/>
      <c r="F200" s="1592" t="s">
        <v>610</v>
      </c>
      <c r="G200" s="1600"/>
      <c r="H200" s="1592"/>
      <c r="I200" s="1592"/>
      <c r="J200" s="1591" t="s">
        <v>10</v>
      </c>
      <c r="K200" s="1601">
        <f>F12</f>
        <v>205.61</v>
      </c>
      <c r="L200" s="1600" t="s">
        <v>39</v>
      </c>
      <c r="M200" s="1602" t="s">
        <v>640</v>
      </c>
      <c r="N200" s="1592"/>
      <c r="V200" s="160"/>
    </row>
    <row r="201" spans="1:22">
      <c r="A201" s="1592"/>
      <c r="B201" s="1592" t="s">
        <v>630</v>
      </c>
      <c r="C201" s="1592"/>
      <c r="D201" s="1592"/>
      <c r="E201" s="1600">
        <f>I12</f>
        <v>193</v>
      </c>
      <c r="F201" s="1592" t="s">
        <v>37</v>
      </c>
      <c r="G201" s="1600"/>
      <c r="H201" s="1592"/>
      <c r="I201" s="1592"/>
      <c r="J201" s="1591" t="s">
        <v>10</v>
      </c>
      <c r="K201" s="1601">
        <f>K12</f>
        <v>421.17</v>
      </c>
      <c r="L201" s="1600" t="s">
        <v>39</v>
      </c>
      <c r="M201" s="1602"/>
      <c r="N201" s="1592"/>
      <c r="V201" s="160"/>
    </row>
    <row r="202" spans="1:22">
      <c r="A202" s="1592"/>
      <c r="B202" s="1592" t="s">
        <v>617</v>
      </c>
      <c r="C202" s="1592"/>
      <c r="D202" s="1592"/>
      <c r="E202" s="1600"/>
      <c r="F202" s="1592"/>
      <c r="G202" s="1600"/>
      <c r="H202" s="1592"/>
      <c r="I202" s="1592"/>
      <c r="J202" s="1591" t="s">
        <v>10</v>
      </c>
      <c r="K202" s="1601">
        <f>SUM(K200:K201)</f>
        <v>626.78</v>
      </c>
      <c r="L202" s="1600" t="s">
        <v>39</v>
      </c>
      <c r="M202" s="1602"/>
      <c r="N202" s="461"/>
      <c r="V202" s="160"/>
    </row>
    <row r="203" spans="1:22">
      <c r="A203" s="1592"/>
      <c r="B203" s="1592" t="s">
        <v>671</v>
      </c>
      <c r="C203" s="1592"/>
      <c r="D203" s="1592"/>
      <c r="E203" s="1600"/>
      <c r="F203" s="1592"/>
      <c r="G203" s="1600"/>
      <c r="H203" s="1592"/>
      <c r="I203" s="1592"/>
      <c r="J203" s="1591" t="s">
        <v>10</v>
      </c>
      <c r="K203" s="1601">
        <f>ROUND(K202*1.5,2)</f>
        <v>940.17</v>
      </c>
      <c r="L203" s="1600" t="s">
        <v>39</v>
      </c>
      <c r="M203" s="1604"/>
      <c r="N203" s="461"/>
      <c r="V203" s="160"/>
    </row>
    <row r="204" spans="1:22">
      <c r="A204" s="1592"/>
      <c r="B204" s="1605" t="s">
        <v>672</v>
      </c>
      <c r="C204" s="1592"/>
      <c r="D204" s="1592"/>
      <c r="E204" s="1600"/>
      <c r="F204" s="1592"/>
      <c r="G204" s="1600"/>
      <c r="H204" s="1592"/>
      <c r="I204" s="1592"/>
      <c r="J204" s="1591" t="s">
        <v>10</v>
      </c>
      <c r="K204" s="1601">
        <f>ROUND(IF(Q16=2,'S2'!BE9,'S2'!BD9),2)</f>
        <v>24.71</v>
      </c>
      <c r="L204" s="1600" t="s">
        <v>39</v>
      </c>
      <c r="M204" s="1602"/>
      <c r="N204" s="461"/>
      <c r="V204" s="160"/>
    </row>
    <row r="205" spans="1:22">
      <c r="A205" s="1592"/>
      <c r="B205" s="1605" t="s">
        <v>673</v>
      </c>
      <c r="C205" s="1592"/>
      <c r="D205" s="1592"/>
      <c r="E205" s="1600"/>
      <c r="F205" s="1592"/>
      <c r="G205" s="1600"/>
      <c r="H205" s="1592"/>
      <c r="I205" s="1592"/>
      <c r="J205" s="1591" t="s">
        <v>10</v>
      </c>
      <c r="K205" s="1601">
        <f>ROUND(IF(Q16=2,'S2'!BE10,'S2'!BD10),2)</f>
        <v>87.32</v>
      </c>
      <c r="L205" s="1600" t="s">
        <v>39</v>
      </c>
      <c r="M205" s="1602"/>
      <c r="N205" s="461"/>
      <c r="V205" s="160"/>
    </row>
    <row r="206" spans="1:22">
      <c r="A206" s="1592"/>
      <c r="B206" s="1592" t="s">
        <v>633</v>
      </c>
      <c r="C206" s="1592"/>
      <c r="D206" s="1605"/>
      <c r="E206" s="1600"/>
      <c r="F206" s="1592" t="s">
        <v>610</v>
      </c>
      <c r="G206" s="1600"/>
      <c r="H206" s="1592"/>
      <c r="I206" s="1592"/>
      <c r="J206" s="1591" t="s">
        <v>10</v>
      </c>
      <c r="K206" s="1606">
        <f>IF(E201=0,0,SUM(K203:K205))</f>
        <v>1052.2</v>
      </c>
      <c r="L206" s="1600" t="s">
        <v>39</v>
      </c>
      <c r="M206" s="1602" t="s">
        <v>642</v>
      </c>
      <c r="N206" s="461"/>
      <c r="V206" s="160"/>
    </row>
    <row r="207" spans="1:22">
      <c r="A207" s="461"/>
      <c r="B207" s="461"/>
      <c r="C207" s="461"/>
      <c r="D207" s="1529"/>
      <c r="E207" s="1607"/>
      <c r="F207" s="1477"/>
      <c r="G207" s="1413"/>
      <c r="H207" s="461"/>
      <c r="I207" s="461"/>
      <c r="J207" s="1431"/>
      <c r="K207" s="1478"/>
      <c r="L207" s="1477"/>
      <c r="M207" s="461"/>
      <c r="N207" s="461"/>
      <c r="V207" s="160"/>
    </row>
    <row r="208" spans="1:22">
      <c r="A208" s="1413"/>
      <c r="B208" s="1608" t="s">
        <v>13</v>
      </c>
      <c r="C208" s="1413"/>
      <c r="D208" s="1413"/>
      <c r="E208" s="1413"/>
      <c r="F208" s="1413"/>
      <c r="G208" s="1413"/>
      <c r="H208" s="461"/>
      <c r="I208" s="461"/>
      <c r="J208" s="1431"/>
      <c r="K208" s="1479"/>
      <c r="L208" s="461"/>
      <c r="M208" s="461"/>
      <c r="N208" s="461"/>
      <c r="V208" s="160"/>
    </row>
    <row r="209" spans="1:22">
      <c r="A209" s="1413"/>
      <c r="B209" s="1413" t="s">
        <v>51</v>
      </c>
      <c r="C209" s="1413"/>
      <c r="D209" s="1413"/>
      <c r="E209" s="1413"/>
      <c r="F209" s="1413"/>
      <c r="G209" s="1413"/>
      <c r="H209" s="461"/>
      <c r="I209" s="461"/>
      <c r="J209" s="1431"/>
      <c r="K209" s="1609"/>
      <c r="L209" s="461"/>
      <c r="M209" s="461"/>
      <c r="N209" s="461"/>
      <c r="V209" s="160"/>
    </row>
    <row r="210" spans="1:22">
      <c r="A210" s="1413"/>
      <c r="B210" s="1413" t="s">
        <v>52</v>
      </c>
      <c r="C210" s="1413"/>
      <c r="D210" s="1413"/>
      <c r="E210" s="1413"/>
      <c r="F210" s="1413"/>
      <c r="G210" s="1413"/>
      <c r="H210" s="461"/>
      <c r="I210" s="461"/>
      <c r="J210" s="1431"/>
      <c r="K210" s="1514"/>
      <c r="L210" s="461"/>
      <c r="M210" s="461"/>
      <c r="V210" s="160"/>
    </row>
    <row r="211" spans="1:22">
      <c r="A211" s="1413"/>
      <c r="B211" s="1608" t="s">
        <v>15</v>
      </c>
      <c r="C211" s="1413"/>
      <c r="D211" s="1413"/>
      <c r="E211" s="1413"/>
      <c r="F211" s="1413"/>
      <c r="G211" s="1413"/>
      <c r="H211" s="461"/>
      <c r="I211" s="461"/>
      <c r="J211" s="1431"/>
      <c r="K211" s="461"/>
      <c r="L211" s="461"/>
      <c r="M211" s="461"/>
      <c r="V211" s="160"/>
    </row>
    <row r="212" spans="1:22">
      <c r="A212" s="1413"/>
      <c r="B212" s="1413" t="s">
        <v>291</v>
      </c>
      <c r="C212" s="1413"/>
      <c r="D212" s="1413"/>
      <c r="E212" s="1413"/>
      <c r="F212" s="461"/>
      <c r="G212" s="1610">
        <f>Q14</f>
        <v>30.5</v>
      </c>
      <c r="H212" s="1413" t="s">
        <v>16</v>
      </c>
      <c r="I212" s="1413"/>
      <c r="J212" s="461"/>
      <c r="K212" s="461"/>
      <c r="L212" s="461"/>
      <c r="M212" s="461"/>
      <c r="V212" s="160"/>
    </row>
    <row r="213" spans="1:22">
      <c r="A213" s="1413"/>
      <c r="B213" s="1386" t="s">
        <v>292</v>
      </c>
      <c r="C213" s="1413"/>
      <c r="D213" s="1413"/>
      <c r="E213" s="1413"/>
      <c r="F213" s="461"/>
      <c r="G213" s="1610">
        <f>Q15</f>
        <v>30.5</v>
      </c>
      <c r="H213" s="1413" t="s">
        <v>16</v>
      </c>
      <c r="I213" s="1413"/>
      <c r="J213" s="461"/>
      <c r="K213" s="461"/>
      <c r="L213" s="461"/>
      <c r="M213" s="461"/>
      <c r="V213" s="160"/>
    </row>
    <row r="214" spans="1:22">
      <c r="A214" s="1413"/>
      <c r="B214" s="1413" t="s">
        <v>293</v>
      </c>
      <c r="C214" s="1413"/>
      <c r="D214" s="1611" t="str">
        <f>IF(Q16=0,S16,IF(Q16=1,S17,S18))</f>
        <v>ฝนตกปกติ</v>
      </c>
      <c r="E214" s="1413"/>
      <c r="F214" s="1612"/>
      <c r="G214" s="1413"/>
      <c r="H214" s="1413"/>
      <c r="I214" s="1413"/>
      <c r="J214" s="461"/>
      <c r="K214" s="461"/>
      <c r="L214" s="461"/>
      <c r="M214" s="461"/>
      <c r="V214" s="160"/>
    </row>
    <row r="215" spans="1:22">
      <c r="A215" s="164"/>
      <c r="B215" s="1413" t="s">
        <v>500</v>
      </c>
      <c r="C215" s="164"/>
      <c r="D215" s="1899" t="s">
        <v>953</v>
      </c>
      <c r="E215" s="1899"/>
      <c r="G215" s="164"/>
      <c r="V215" s="160"/>
    </row>
    <row r="216" spans="1:22">
      <c r="A216" s="164"/>
      <c r="B216" s="164" t="s">
        <v>498</v>
      </c>
      <c r="C216" s="164"/>
      <c r="D216" s="1613" t="s">
        <v>301</v>
      </c>
      <c r="E216" s="1428" t="s">
        <v>499</v>
      </c>
      <c r="F216" s="164"/>
      <c r="G216" s="164"/>
    </row>
    <row r="217" spans="1:22">
      <c r="A217" s="164"/>
      <c r="B217" s="164"/>
      <c r="C217" s="164"/>
      <c r="D217" s="164"/>
      <c r="E217" s="164"/>
      <c r="F217" s="164"/>
      <c r="G217" s="164"/>
    </row>
    <row r="218" spans="1:22">
      <c r="A218" s="164"/>
      <c r="B218" s="164"/>
      <c r="C218" s="164"/>
      <c r="D218" s="164"/>
      <c r="E218" s="164"/>
      <c r="F218" s="164"/>
      <c r="G218" s="164"/>
    </row>
    <row r="219" spans="1:22">
      <c r="A219" s="164"/>
      <c r="B219" s="164"/>
      <c r="C219" s="164"/>
      <c r="D219" s="164"/>
      <c r="E219" s="164"/>
      <c r="F219" s="164"/>
      <c r="G219" s="164"/>
    </row>
    <row r="220" spans="1:22">
      <c r="A220" s="164"/>
      <c r="B220" s="164"/>
      <c r="C220" s="164"/>
      <c r="D220" s="164"/>
      <c r="E220" s="164"/>
      <c r="F220" s="164"/>
      <c r="G220" s="164"/>
    </row>
    <row r="221" spans="1:22">
      <c r="A221" s="164"/>
      <c r="B221" s="164"/>
      <c r="C221" s="164"/>
      <c r="D221" s="164"/>
      <c r="E221" s="164"/>
      <c r="F221" s="164"/>
      <c r="G221" s="164"/>
    </row>
    <row r="222" spans="1:22">
      <c r="A222" s="164"/>
      <c r="B222" s="164"/>
      <c r="C222" s="164"/>
      <c r="D222" s="164"/>
      <c r="E222" s="164"/>
      <c r="F222" s="164"/>
      <c r="G222" s="164"/>
    </row>
    <row r="223" spans="1:22">
      <c r="A223" s="164"/>
      <c r="B223" s="164"/>
      <c r="C223" s="164"/>
      <c r="D223" s="164"/>
      <c r="E223" s="164"/>
      <c r="F223" s="164"/>
      <c r="G223" s="164"/>
    </row>
    <row r="224" spans="1:22">
      <c r="A224" s="164"/>
      <c r="B224" s="164"/>
      <c r="C224" s="164"/>
      <c r="D224" s="164"/>
      <c r="E224" s="164"/>
      <c r="F224" s="164"/>
      <c r="G224" s="164"/>
    </row>
    <row r="225" spans="1:7">
      <c r="A225" s="164"/>
      <c r="B225" s="164"/>
      <c r="C225" s="164"/>
      <c r="D225" s="164"/>
      <c r="E225" s="164"/>
      <c r="F225" s="164"/>
      <c r="G225" s="164"/>
    </row>
    <row r="226" spans="1:7">
      <c r="A226" s="164"/>
      <c r="B226" s="164"/>
      <c r="C226" s="164"/>
      <c r="D226" s="164"/>
      <c r="E226" s="164"/>
      <c r="F226" s="164"/>
      <c r="G226" s="164"/>
    </row>
    <row r="227" spans="1:7">
      <c r="A227" s="164"/>
      <c r="B227" s="164"/>
      <c r="C227" s="164"/>
      <c r="D227" s="164"/>
      <c r="E227" s="164"/>
      <c r="F227" s="164"/>
      <c r="G227" s="164"/>
    </row>
    <row r="228" spans="1:7">
      <c r="A228" s="164"/>
      <c r="B228" s="164"/>
      <c r="C228" s="164"/>
      <c r="D228" s="164"/>
      <c r="E228" s="164"/>
      <c r="F228" s="164"/>
      <c r="G228" s="164"/>
    </row>
    <row r="229" spans="1:7">
      <c r="A229" s="164"/>
      <c r="B229" s="164"/>
      <c r="C229" s="164"/>
      <c r="D229" s="164"/>
      <c r="E229" s="164"/>
      <c r="F229" s="164"/>
      <c r="G229" s="164"/>
    </row>
    <row r="230" spans="1:7">
      <c r="A230" s="164"/>
      <c r="B230" s="164"/>
      <c r="C230" s="164"/>
      <c r="D230" s="164"/>
      <c r="E230" s="164"/>
      <c r="F230" s="164"/>
      <c r="G230" s="164"/>
    </row>
    <row r="231" spans="1:7">
      <c r="A231" s="164"/>
      <c r="B231" s="164"/>
      <c r="C231" s="164"/>
      <c r="D231" s="164"/>
      <c r="E231" s="164"/>
      <c r="F231" s="164"/>
      <c r="G231" s="164"/>
    </row>
    <row r="232" spans="1:7">
      <c r="A232" s="164"/>
      <c r="B232" s="164"/>
      <c r="C232" s="164"/>
      <c r="D232" s="164"/>
      <c r="E232" s="164"/>
      <c r="F232" s="164"/>
      <c r="G232" s="164"/>
    </row>
    <row r="233" spans="1:7">
      <c r="A233" s="164"/>
      <c r="B233" s="164"/>
      <c r="C233" s="164"/>
      <c r="D233" s="164"/>
      <c r="E233" s="164"/>
      <c r="F233" s="164"/>
      <c r="G233" s="164"/>
    </row>
    <row r="234" spans="1:7">
      <c r="A234" s="164"/>
      <c r="B234" s="164"/>
      <c r="C234" s="164"/>
      <c r="D234" s="164"/>
      <c r="E234" s="164"/>
      <c r="F234" s="164"/>
      <c r="G234" s="164"/>
    </row>
    <row r="235" spans="1:7">
      <c r="A235" s="164"/>
      <c r="B235" s="164"/>
      <c r="C235" s="164"/>
      <c r="D235" s="164"/>
      <c r="E235" s="164"/>
      <c r="F235" s="164"/>
      <c r="G235" s="164"/>
    </row>
    <row r="236" spans="1:7">
      <c r="A236" s="164"/>
      <c r="B236" s="164"/>
      <c r="C236" s="164"/>
      <c r="D236" s="164"/>
      <c r="E236" s="164"/>
      <c r="F236" s="164"/>
      <c r="G236" s="164"/>
    </row>
    <row r="237" spans="1:7">
      <c r="A237" s="164"/>
      <c r="B237" s="164"/>
      <c r="C237" s="164"/>
      <c r="D237" s="164"/>
      <c r="E237" s="164"/>
      <c r="F237" s="164"/>
      <c r="G237" s="164"/>
    </row>
    <row r="238" spans="1:7">
      <c r="A238" s="164"/>
      <c r="B238" s="164"/>
      <c r="C238" s="164"/>
      <c r="D238" s="164"/>
      <c r="E238" s="164"/>
      <c r="F238" s="164"/>
      <c r="G238" s="164"/>
    </row>
    <row r="239" spans="1:7">
      <c r="A239" s="164"/>
      <c r="B239" s="164"/>
      <c r="C239" s="164"/>
      <c r="D239" s="164"/>
      <c r="E239" s="164"/>
      <c r="F239" s="164"/>
      <c r="G239" s="164"/>
    </row>
    <row r="240" spans="1:7">
      <c r="A240" s="164"/>
      <c r="B240" s="164"/>
      <c r="C240" s="164"/>
      <c r="D240" s="164"/>
      <c r="E240" s="164"/>
      <c r="F240" s="164"/>
      <c r="G240" s="164"/>
    </row>
    <row r="241" spans="1:7">
      <c r="A241" s="164"/>
      <c r="B241" s="164"/>
      <c r="C241" s="164"/>
      <c r="D241" s="164"/>
      <c r="E241" s="164"/>
      <c r="F241" s="164"/>
      <c r="G241" s="164"/>
    </row>
    <row r="242" spans="1:7">
      <c r="A242" s="164"/>
      <c r="B242" s="164"/>
      <c r="C242" s="164"/>
      <c r="D242" s="164"/>
      <c r="E242" s="164"/>
      <c r="F242" s="164"/>
      <c r="G242" s="164"/>
    </row>
    <row r="243" spans="1:7">
      <c r="A243" s="164"/>
      <c r="B243" s="164"/>
      <c r="C243" s="164"/>
      <c r="D243" s="164"/>
      <c r="E243" s="164"/>
      <c r="F243" s="164"/>
      <c r="G243" s="164"/>
    </row>
    <row r="244" spans="1:7">
      <c r="A244" s="164"/>
      <c r="B244" s="164"/>
      <c r="C244" s="164"/>
      <c r="D244" s="164"/>
      <c r="E244" s="164"/>
      <c r="F244" s="164"/>
      <c r="G244" s="164"/>
    </row>
    <row r="245" spans="1:7">
      <c r="A245" s="164"/>
      <c r="B245" s="164"/>
      <c r="C245" s="164"/>
      <c r="D245" s="164"/>
      <c r="E245" s="164"/>
      <c r="F245" s="164"/>
      <c r="G245" s="164"/>
    </row>
    <row r="246" spans="1:7">
      <c r="A246" s="164"/>
      <c r="B246" s="164"/>
      <c r="C246" s="164"/>
      <c r="D246" s="164"/>
      <c r="E246" s="164"/>
      <c r="F246" s="164"/>
      <c r="G246" s="164"/>
    </row>
    <row r="247" spans="1:7">
      <c r="A247" s="164"/>
      <c r="B247" s="164"/>
      <c r="C247" s="164"/>
      <c r="D247" s="164"/>
      <c r="E247" s="164"/>
      <c r="F247" s="164"/>
      <c r="G247" s="164"/>
    </row>
    <row r="248" spans="1:7">
      <c r="A248" s="164"/>
      <c r="B248" s="164"/>
      <c r="C248" s="164"/>
      <c r="D248" s="164"/>
      <c r="E248" s="164"/>
      <c r="F248" s="164"/>
      <c r="G248" s="164"/>
    </row>
    <row r="249" spans="1:7">
      <c r="A249" s="164"/>
      <c r="B249" s="164"/>
      <c r="C249" s="164"/>
      <c r="D249" s="164"/>
      <c r="E249" s="164"/>
      <c r="F249" s="164"/>
      <c r="G249" s="164"/>
    </row>
    <row r="250" spans="1:7">
      <c r="A250" s="164"/>
      <c r="B250" s="164"/>
      <c r="C250" s="164"/>
      <c r="D250" s="164"/>
      <c r="E250" s="164"/>
      <c r="F250" s="164"/>
      <c r="G250" s="164"/>
    </row>
    <row r="251" spans="1:7">
      <c r="A251" s="164"/>
      <c r="B251" s="164"/>
      <c r="C251" s="164"/>
      <c r="D251" s="164"/>
      <c r="E251" s="164"/>
      <c r="F251" s="164"/>
      <c r="G251" s="164"/>
    </row>
    <row r="252" spans="1:7">
      <c r="A252" s="164"/>
      <c r="B252" s="164"/>
      <c r="C252" s="164"/>
      <c r="D252" s="164"/>
      <c r="E252" s="164"/>
      <c r="F252" s="164"/>
      <c r="G252" s="164"/>
    </row>
    <row r="253" spans="1:7">
      <c r="A253" s="164"/>
      <c r="B253" s="164"/>
      <c r="C253" s="164"/>
      <c r="D253" s="164"/>
      <c r="E253" s="164"/>
      <c r="F253" s="164"/>
      <c r="G253" s="164"/>
    </row>
    <row r="254" spans="1:7">
      <c r="A254" s="164"/>
      <c r="B254" s="164"/>
      <c r="C254" s="164"/>
      <c r="D254" s="164"/>
      <c r="E254" s="164"/>
      <c r="F254" s="164"/>
      <c r="G254" s="164"/>
    </row>
    <row r="255" spans="1:7">
      <c r="A255" s="164"/>
      <c r="B255" s="164"/>
      <c r="C255" s="164"/>
      <c r="D255" s="164"/>
      <c r="E255" s="164"/>
      <c r="F255" s="164"/>
      <c r="G255" s="164"/>
    </row>
    <row r="256" spans="1:7">
      <c r="A256" s="164"/>
      <c r="B256" s="164"/>
      <c r="C256" s="164"/>
      <c r="D256" s="164"/>
      <c r="E256" s="164"/>
      <c r="F256" s="164"/>
      <c r="G256" s="164"/>
    </row>
    <row r="257" spans="1:7">
      <c r="A257" s="164"/>
      <c r="B257" s="164"/>
      <c r="C257" s="164"/>
      <c r="D257" s="164"/>
      <c r="E257" s="164"/>
      <c r="F257" s="164"/>
      <c r="G257" s="164"/>
    </row>
    <row r="258" spans="1:7">
      <c r="A258" s="164"/>
      <c r="B258" s="164"/>
      <c r="C258" s="164"/>
      <c r="D258" s="164"/>
      <c r="E258" s="164"/>
      <c r="F258" s="164"/>
      <c r="G258" s="164"/>
    </row>
    <row r="259" spans="1:7">
      <c r="A259" s="164"/>
      <c r="B259" s="164"/>
      <c r="C259" s="164"/>
      <c r="D259" s="164"/>
      <c r="E259" s="164"/>
      <c r="F259" s="164"/>
      <c r="G259" s="164"/>
    </row>
    <row r="260" spans="1:7">
      <c r="A260" s="164"/>
      <c r="B260" s="164"/>
      <c r="C260" s="164"/>
      <c r="D260" s="164"/>
      <c r="E260" s="164"/>
      <c r="F260" s="164"/>
      <c r="G260" s="164"/>
    </row>
    <row r="261" spans="1:7">
      <c r="A261" s="164"/>
      <c r="B261" s="164"/>
      <c r="C261" s="164"/>
      <c r="D261" s="164"/>
      <c r="E261" s="164"/>
      <c r="F261" s="164"/>
      <c r="G261" s="164"/>
    </row>
    <row r="262" spans="1:7">
      <c r="A262" s="164"/>
      <c r="B262" s="164"/>
      <c r="C262" s="164"/>
      <c r="D262" s="164"/>
      <c r="E262" s="164"/>
      <c r="F262" s="164"/>
      <c r="G262" s="164"/>
    </row>
    <row r="263" spans="1:7">
      <c r="A263" s="164"/>
      <c r="B263" s="164"/>
      <c r="C263" s="164"/>
      <c r="D263" s="164"/>
      <c r="E263" s="164"/>
      <c r="F263" s="164"/>
      <c r="G263" s="164"/>
    </row>
    <row r="264" spans="1:7">
      <c r="A264" s="164"/>
      <c r="B264" s="164"/>
      <c r="C264" s="164"/>
      <c r="D264" s="164"/>
      <c r="E264" s="164"/>
      <c r="F264" s="164"/>
      <c r="G264" s="164"/>
    </row>
    <row r="265" spans="1:7">
      <c r="A265" s="164"/>
      <c r="B265" s="164"/>
      <c r="C265" s="164"/>
      <c r="D265" s="164"/>
      <c r="E265" s="164"/>
      <c r="F265" s="164"/>
      <c r="G265" s="164"/>
    </row>
    <row r="266" spans="1:7">
      <c r="A266" s="164"/>
      <c r="B266" s="164"/>
      <c r="C266" s="164"/>
      <c r="D266" s="164"/>
      <c r="E266" s="164"/>
      <c r="F266" s="164"/>
      <c r="G266" s="164"/>
    </row>
    <row r="267" spans="1:7">
      <c r="A267" s="164"/>
      <c r="B267" s="164"/>
      <c r="C267" s="164"/>
      <c r="D267" s="164"/>
      <c r="E267" s="164"/>
      <c r="F267" s="164"/>
      <c r="G267" s="164"/>
    </row>
    <row r="268" spans="1:7">
      <c r="A268" s="164"/>
      <c r="B268" s="164"/>
      <c r="C268" s="164"/>
      <c r="D268" s="164"/>
      <c r="E268" s="164"/>
      <c r="F268" s="164"/>
      <c r="G268" s="164"/>
    </row>
    <row r="269" spans="1:7">
      <c r="A269" s="164"/>
      <c r="B269" s="164"/>
      <c r="C269" s="164"/>
      <c r="D269" s="164"/>
      <c r="E269" s="164"/>
      <c r="F269" s="164"/>
      <c r="G269" s="164"/>
    </row>
    <row r="270" spans="1:7">
      <c r="A270" s="164"/>
      <c r="B270" s="164"/>
      <c r="C270" s="164"/>
      <c r="D270" s="164"/>
      <c r="E270" s="164"/>
      <c r="F270" s="164"/>
      <c r="G270" s="164"/>
    </row>
    <row r="271" spans="1:7">
      <c r="A271" s="164"/>
      <c r="B271" s="164"/>
      <c r="C271" s="164"/>
      <c r="D271" s="164"/>
      <c r="E271" s="164"/>
      <c r="F271" s="164"/>
      <c r="G271" s="164"/>
    </row>
    <row r="272" spans="1:7">
      <c r="A272" s="164"/>
      <c r="B272" s="164"/>
      <c r="C272" s="164"/>
      <c r="D272" s="164"/>
      <c r="E272" s="164"/>
      <c r="F272" s="164"/>
      <c r="G272" s="164"/>
    </row>
    <row r="273" spans="1:7">
      <c r="A273" s="164"/>
      <c r="B273" s="164"/>
      <c r="C273" s="164"/>
      <c r="D273" s="164"/>
      <c r="E273" s="164"/>
      <c r="F273" s="164"/>
      <c r="G273" s="164"/>
    </row>
    <row r="274" spans="1:7">
      <c r="A274" s="164"/>
      <c r="B274" s="164"/>
      <c r="C274" s="164"/>
      <c r="D274" s="164"/>
      <c r="E274" s="164"/>
      <c r="F274" s="164"/>
      <c r="G274" s="164"/>
    </row>
    <row r="275" spans="1:7">
      <c r="A275" s="164"/>
      <c r="B275" s="164"/>
      <c r="C275" s="164"/>
      <c r="D275" s="164"/>
      <c r="E275" s="164"/>
      <c r="F275" s="164"/>
      <c r="G275" s="164"/>
    </row>
    <row r="276" spans="1:7">
      <c r="A276" s="164"/>
      <c r="B276" s="164"/>
      <c r="C276" s="164"/>
      <c r="D276" s="164"/>
      <c r="E276" s="164"/>
      <c r="F276" s="164"/>
      <c r="G276" s="164"/>
    </row>
    <row r="277" spans="1:7">
      <c r="A277" s="164"/>
      <c r="B277" s="164"/>
      <c r="C277" s="164"/>
      <c r="D277" s="164"/>
      <c r="E277" s="164"/>
      <c r="F277" s="164"/>
      <c r="G277" s="164"/>
    </row>
    <row r="278" spans="1:7">
      <c r="A278" s="164"/>
      <c r="B278" s="164"/>
      <c r="C278" s="164"/>
      <c r="D278" s="164"/>
      <c r="E278" s="164"/>
      <c r="F278" s="164"/>
      <c r="G278" s="164"/>
    </row>
    <row r="279" spans="1:7">
      <c r="A279" s="164"/>
      <c r="B279" s="164"/>
      <c r="C279" s="164"/>
      <c r="D279" s="164"/>
      <c r="E279" s="164"/>
      <c r="F279" s="164"/>
      <c r="G279" s="164"/>
    </row>
    <row r="280" spans="1:7">
      <c r="A280" s="164"/>
      <c r="B280" s="164"/>
      <c r="C280" s="164"/>
      <c r="D280" s="164"/>
      <c r="E280" s="164"/>
      <c r="F280" s="164"/>
      <c r="G280" s="164"/>
    </row>
    <row r="281" spans="1:7">
      <c r="A281" s="164"/>
      <c r="B281" s="164"/>
      <c r="C281" s="164"/>
      <c r="D281" s="164"/>
      <c r="E281" s="164"/>
      <c r="F281" s="164"/>
      <c r="G281" s="164"/>
    </row>
    <row r="282" spans="1:7">
      <c r="A282" s="164"/>
      <c r="B282" s="164"/>
      <c r="C282" s="164"/>
      <c r="D282" s="164"/>
      <c r="E282" s="164"/>
      <c r="F282" s="164"/>
      <c r="G282" s="164"/>
    </row>
    <row r="283" spans="1:7">
      <c r="A283" s="164"/>
      <c r="B283" s="164"/>
      <c r="C283" s="164"/>
      <c r="D283" s="164"/>
      <c r="E283" s="164"/>
      <c r="F283" s="164"/>
      <c r="G283" s="164"/>
    </row>
    <row r="284" spans="1:7">
      <c r="A284" s="164"/>
      <c r="B284" s="164"/>
      <c r="C284" s="164"/>
      <c r="D284" s="164"/>
      <c r="E284" s="164"/>
      <c r="F284" s="164"/>
      <c r="G284" s="164"/>
    </row>
    <row r="285" spans="1:7">
      <c r="A285" s="164"/>
      <c r="B285" s="164"/>
      <c r="C285" s="164"/>
      <c r="D285" s="164"/>
      <c r="E285" s="164"/>
      <c r="F285" s="164"/>
      <c r="G285" s="164"/>
    </row>
    <row r="286" spans="1:7">
      <c r="A286" s="164"/>
      <c r="B286" s="164"/>
      <c r="C286" s="164"/>
      <c r="D286" s="164"/>
      <c r="E286" s="164"/>
      <c r="F286" s="164"/>
      <c r="G286" s="164"/>
    </row>
    <row r="287" spans="1:7">
      <c r="A287" s="164"/>
      <c r="B287" s="164"/>
      <c r="C287" s="164"/>
      <c r="D287" s="164"/>
      <c r="E287" s="164"/>
      <c r="F287" s="164"/>
      <c r="G287" s="164"/>
    </row>
    <row r="288" spans="1:7">
      <c r="A288" s="164"/>
      <c r="B288" s="164"/>
      <c r="C288" s="164"/>
      <c r="D288" s="164"/>
      <c r="E288" s="164"/>
      <c r="F288" s="164"/>
      <c r="G288" s="164"/>
    </row>
    <row r="289" spans="1:7">
      <c r="A289" s="164"/>
      <c r="B289" s="164"/>
      <c r="C289" s="164"/>
      <c r="D289" s="164"/>
      <c r="E289" s="164"/>
      <c r="F289" s="164"/>
      <c r="G289" s="164"/>
    </row>
    <row r="290" spans="1:7">
      <c r="A290" s="164"/>
      <c r="B290" s="164"/>
      <c r="C290" s="164"/>
      <c r="D290" s="164"/>
      <c r="E290" s="164"/>
      <c r="F290" s="164"/>
      <c r="G290" s="164"/>
    </row>
    <row r="291" spans="1:7">
      <c r="A291" s="164"/>
      <c r="B291" s="164"/>
      <c r="C291" s="164"/>
      <c r="D291" s="164"/>
      <c r="E291" s="164"/>
      <c r="F291" s="164"/>
      <c r="G291" s="164"/>
    </row>
    <row r="292" spans="1:7">
      <c r="A292" s="164"/>
      <c r="B292" s="164"/>
      <c r="C292" s="164"/>
      <c r="D292" s="164"/>
      <c r="E292" s="164"/>
      <c r="F292" s="164"/>
      <c r="G292" s="164"/>
    </row>
    <row r="293" spans="1:7">
      <c r="A293" s="164"/>
      <c r="B293" s="164"/>
      <c r="C293" s="164"/>
      <c r="D293" s="164"/>
      <c r="E293" s="164"/>
      <c r="F293" s="164"/>
      <c r="G293" s="164"/>
    </row>
    <row r="294" spans="1:7">
      <c r="A294" s="164"/>
      <c r="B294" s="164"/>
      <c r="C294" s="164"/>
      <c r="D294" s="164"/>
      <c r="E294" s="164"/>
      <c r="F294" s="164"/>
      <c r="G294" s="164"/>
    </row>
    <row r="295" spans="1:7">
      <c r="A295" s="164"/>
      <c r="B295" s="164"/>
      <c r="C295" s="164"/>
      <c r="D295" s="164"/>
      <c r="E295" s="164"/>
      <c r="F295" s="164"/>
      <c r="G295" s="164"/>
    </row>
    <row r="296" spans="1:7">
      <c r="A296" s="164"/>
      <c r="B296" s="164"/>
      <c r="C296" s="164"/>
      <c r="D296" s="164"/>
      <c r="E296" s="164"/>
      <c r="F296" s="164"/>
      <c r="G296" s="164"/>
    </row>
    <row r="297" spans="1:7">
      <c r="A297" s="164"/>
      <c r="B297" s="164"/>
      <c r="C297" s="164"/>
      <c r="D297" s="164"/>
      <c r="E297" s="164"/>
      <c r="F297" s="164"/>
      <c r="G297" s="164"/>
    </row>
    <row r="298" spans="1:7">
      <c r="A298" s="164"/>
      <c r="B298" s="164"/>
      <c r="C298" s="164"/>
      <c r="D298" s="164"/>
      <c r="E298" s="164"/>
      <c r="F298" s="164"/>
      <c r="G298" s="164"/>
    </row>
    <row r="299" spans="1:7">
      <c r="A299" s="164"/>
      <c r="B299" s="164"/>
      <c r="C299" s="164"/>
      <c r="D299" s="164"/>
      <c r="E299" s="164"/>
      <c r="F299" s="164"/>
      <c r="G299" s="164"/>
    </row>
    <row r="300" spans="1:7">
      <c r="A300" s="164"/>
      <c r="B300" s="164"/>
      <c r="C300" s="164"/>
      <c r="D300" s="164"/>
      <c r="E300" s="164"/>
      <c r="F300" s="164"/>
      <c r="G300" s="164"/>
    </row>
    <row r="301" spans="1:7">
      <c r="A301" s="164"/>
      <c r="B301" s="164"/>
      <c r="C301" s="164"/>
      <c r="D301" s="164"/>
      <c r="E301" s="164"/>
      <c r="F301" s="164"/>
      <c r="G301" s="164"/>
    </row>
    <row r="302" spans="1:7">
      <c r="A302" s="164"/>
      <c r="B302" s="164"/>
      <c r="C302" s="164"/>
      <c r="D302" s="164"/>
      <c r="E302" s="164"/>
      <c r="F302" s="164"/>
      <c r="G302" s="164"/>
    </row>
    <row r="303" spans="1:7">
      <c r="A303" s="164"/>
      <c r="B303" s="164"/>
      <c r="C303" s="164"/>
      <c r="D303" s="164"/>
      <c r="E303" s="164"/>
      <c r="F303" s="164"/>
      <c r="G303" s="164"/>
    </row>
    <row r="304" spans="1:7">
      <c r="A304" s="164"/>
      <c r="B304" s="164"/>
      <c r="C304" s="164"/>
      <c r="D304" s="164"/>
      <c r="E304" s="164"/>
      <c r="F304" s="164"/>
      <c r="G304" s="164"/>
    </row>
    <row r="305" spans="1:7">
      <c r="A305" s="164"/>
      <c r="B305" s="164"/>
      <c r="C305" s="164"/>
      <c r="D305" s="164"/>
      <c r="E305" s="164"/>
      <c r="F305" s="164"/>
      <c r="G305" s="164"/>
    </row>
    <row r="306" spans="1:7">
      <c r="A306" s="164"/>
      <c r="B306" s="164"/>
      <c r="C306" s="164"/>
      <c r="D306" s="164"/>
      <c r="E306" s="164"/>
      <c r="F306" s="164"/>
      <c r="G306" s="164"/>
    </row>
    <row r="307" spans="1:7">
      <c r="A307" s="164"/>
      <c r="B307" s="164"/>
      <c r="C307" s="164"/>
      <c r="D307" s="164"/>
      <c r="E307" s="164"/>
      <c r="F307" s="164"/>
      <c r="G307" s="164"/>
    </row>
    <row r="308" spans="1:7">
      <c r="A308" s="164"/>
      <c r="B308" s="164"/>
      <c r="C308" s="164"/>
      <c r="D308" s="164"/>
      <c r="E308" s="164"/>
      <c r="F308" s="164"/>
      <c r="G308" s="164"/>
    </row>
    <row r="309" spans="1:7">
      <c r="A309" s="164"/>
      <c r="B309" s="164"/>
      <c r="C309" s="164"/>
      <c r="D309" s="164"/>
      <c r="E309" s="164"/>
      <c r="F309" s="164"/>
      <c r="G309" s="164"/>
    </row>
    <row r="310" spans="1:7">
      <c r="A310" s="164"/>
      <c r="B310" s="164"/>
      <c r="C310" s="164"/>
      <c r="D310" s="164"/>
      <c r="E310" s="164"/>
      <c r="F310" s="164"/>
      <c r="G310" s="164"/>
    </row>
    <row r="311" spans="1:7">
      <c r="A311" s="164"/>
      <c r="B311" s="164"/>
      <c r="C311" s="164"/>
      <c r="D311" s="164"/>
      <c r="E311" s="164"/>
      <c r="F311" s="164"/>
      <c r="G311" s="164"/>
    </row>
    <row r="312" spans="1:7">
      <c r="A312" s="164"/>
      <c r="B312" s="164"/>
      <c r="C312" s="164"/>
      <c r="D312" s="164"/>
      <c r="E312" s="164"/>
      <c r="F312" s="164"/>
      <c r="G312" s="164"/>
    </row>
    <row r="313" spans="1:7">
      <c r="A313" s="164"/>
      <c r="B313" s="164"/>
      <c r="C313" s="164"/>
      <c r="D313" s="164"/>
      <c r="E313" s="164"/>
      <c r="F313" s="164"/>
      <c r="G313" s="164"/>
    </row>
    <row r="314" spans="1:7">
      <c r="A314" s="164"/>
      <c r="B314" s="164"/>
      <c r="C314" s="164"/>
      <c r="D314" s="164"/>
      <c r="E314" s="164"/>
      <c r="F314" s="164"/>
      <c r="G314" s="164"/>
    </row>
    <row r="315" spans="1:7">
      <c r="A315" s="164"/>
      <c r="B315" s="164"/>
      <c r="C315" s="164"/>
      <c r="D315" s="164"/>
      <c r="E315" s="164"/>
      <c r="F315" s="164"/>
      <c r="G315" s="164"/>
    </row>
    <row r="316" spans="1:7">
      <c r="A316" s="164"/>
      <c r="B316" s="164"/>
      <c r="C316" s="164"/>
      <c r="D316" s="164"/>
      <c r="E316" s="164"/>
      <c r="F316" s="164"/>
      <c r="G316" s="164"/>
    </row>
    <row r="317" spans="1:7">
      <c r="A317" s="164"/>
      <c r="B317" s="164"/>
      <c r="C317" s="164"/>
      <c r="D317" s="164"/>
      <c r="E317" s="164"/>
      <c r="F317" s="164"/>
      <c r="G317" s="164"/>
    </row>
    <row r="318" spans="1:7">
      <c r="A318" s="164"/>
      <c r="B318" s="164"/>
      <c r="C318" s="164"/>
      <c r="D318" s="164"/>
      <c r="E318" s="164"/>
      <c r="F318" s="164"/>
      <c r="G318" s="164"/>
    </row>
    <row r="319" spans="1:7">
      <c r="A319" s="164"/>
      <c r="B319" s="164"/>
      <c r="C319" s="164"/>
      <c r="D319" s="164"/>
      <c r="E319" s="164"/>
      <c r="F319" s="164"/>
      <c r="G319" s="164"/>
    </row>
    <row r="320" spans="1:7">
      <c r="A320" s="164"/>
      <c r="B320" s="164"/>
      <c r="C320" s="164"/>
      <c r="D320" s="164"/>
      <c r="E320" s="164"/>
      <c r="F320" s="164"/>
      <c r="G320" s="164"/>
    </row>
    <row r="321" spans="1:7">
      <c r="A321" s="164"/>
      <c r="B321" s="164"/>
      <c r="C321" s="164"/>
      <c r="D321" s="164"/>
      <c r="E321" s="164"/>
      <c r="F321" s="164"/>
      <c r="G321" s="164"/>
    </row>
    <row r="322" spans="1:7">
      <c r="A322" s="164"/>
      <c r="B322" s="164"/>
      <c r="C322" s="164"/>
      <c r="D322" s="164"/>
      <c r="E322" s="164"/>
      <c r="F322" s="164"/>
      <c r="G322" s="164"/>
    </row>
    <row r="323" spans="1:7">
      <c r="A323" s="164"/>
      <c r="B323" s="164"/>
      <c r="C323" s="164"/>
      <c r="D323" s="164"/>
      <c r="E323" s="164"/>
      <c r="F323" s="164"/>
      <c r="G323" s="164"/>
    </row>
    <row r="324" spans="1:7">
      <c r="A324" s="164"/>
      <c r="B324" s="164"/>
      <c r="C324" s="164"/>
      <c r="D324" s="164"/>
      <c r="E324" s="164"/>
      <c r="F324" s="164"/>
      <c r="G324" s="164"/>
    </row>
    <row r="325" spans="1:7">
      <c r="A325" s="164"/>
      <c r="B325" s="164"/>
      <c r="C325" s="164"/>
      <c r="D325" s="164"/>
      <c r="E325" s="164"/>
      <c r="F325" s="164"/>
      <c r="G325" s="164"/>
    </row>
    <row r="326" spans="1:7">
      <c r="A326" s="164"/>
      <c r="B326" s="164"/>
      <c r="C326" s="164"/>
      <c r="D326" s="164"/>
      <c r="E326" s="164"/>
      <c r="F326" s="164"/>
      <c r="G326" s="164"/>
    </row>
    <row r="327" spans="1:7">
      <c r="A327" s="164"/>
      <c r="B327" s="164"/>
      <c r="C327" s="164"/>
      <c r="D327" s="164"/>
      <c r="E327" s="164"/>
      <c r="F327" s="164"/>
      <c r="G327" s="164"/>
    </row>
    <row r="328" spans="1:7">
      <c r="A328" s="164"/>
      <c r="B328" s="164"/>
      <c r="C328" s="164"/>
      <c r="D328" s="164"/>
      <c r="E328" s="164"/>
      <c r="F328" s="164"/>
      <c r="G328" s="164"/>
    </row>
    <row r="329" spans="1:7">
      <c r="A329" s="164"/>
      <c r="B329" s="164"/>
      <c r="C329" s="164"/>
      <c r="D329" s="164"/>
      <c r="E329" s="164"/>
      <c r="F329" s="164"/>
      <c r="G329" s="164"/>
    </row>
    <row r="330" spans="1:7">
      <c r="A330" s="164"/>
      <c r="B330" s="164"/>
      <c r="C330" s="164"/>
      <c r="D330" s="164"/>
      <c r="E330" s="164"/>
      <c r="F330" s="164"/>
      <c r="G330" s="164"/>
    </row>
    <row r="331" spans="1:7">
      <c r="A331" s="164"/>
      <c r="B331" s="164"/>
      <c r="C331" s="164"/>
      <c r="D331" s="164"/>
      <c r="E331" s="164"/>
      <c r="F331" s="164"/>
      <c r="G331" s="164"/>
    </row>
    <row r="332" spans="1:7">
      <c r="A332" s="164"/>
      <c r="B332" s="164"/>
      <c r="C332" s="164"/>
      <c r="D332" s="164"/>
      <c r="E332" s="164"/>
      <c r="F332" s="164"/>
      <c r="G332" s="164"/>
    </row>
    <row r="333" spans="1:7">
      <c r="A333" s="164"/>
      <c r="B333" s="164"/>
      <c r="C333" s="164"/>
      <c r="D333" s="164"/>
      <c r="E333" s="164"/>
      <c r="F333" s="164"/>
      <c r="G333" s="164"/>
    </row>
    <row r="334" spans="1:7">
      <c r="A334" s="164"/>
      <c r="B334" s="164"/>
      <c r="C334" s="164"/>
      <c r="D334" s="164"/>
      <c r="E334" s="164"/>
      <c r="F334" s="164"/>
      <c r="G334" s="164"/>
    </row>
    <row r="335" spans="1:7">
      <c r="A335" s="164"/>
      <c r="B335" s="164"/>
      <c r="C335" s="164"/>
      <c r="D335" s="164"/>
      <c r="E335" s="164"/>
      <c r="F335" s="164"/>
      <c r="G335" s="164"/>
    </row>
    <row r="336" spans="1:7">
      <c r="A336" s="164"/>
      <c r="B336" s="164"/>
      <c r="C336" s="164"/>
      <c r="D336" s="164"/>
      <c r="E336" s="164"/>
      <c r="F336" s="164"/>
      <c r="G336" s="164"/>
    </row>
    <row r="337" spans="1:7">
      <c r="A337" s="164"/>
      <c r="B337" s="164"/>
      <c r="C337" s="164"/>
      <c r="D337" s="164"/>
      <c r="E337" s="164"/>
      <c r="F337" s="164"/>
      <c r="G337" s="164"/>
    </row>
    <row r="338" spans="1:7">
      <c r="A338" s="164"/>
      <c r="B338" s="164"/>
      <c r="C338" s="164"/>
      <c r="D338" s="164"/>
      <c r="E338" s="164"/>
      <c r="F338" s="164"/>
      <c r="G338" s="164"/>
    </row>
    <row r="339" spans="1:7">
      <c r="A339" s="164"/>
      <c r="B339" s="164"/>
      <c r="C339" s="164"/>
      <c r="D339" s="164"/>
      <c r="E339" s="164"/>
      <c r="F339" s="164"/>
      <c r="G339" s="164"/>
    </row>
    <row r="340" spans="1:7">
      <c r="A340" s="164"/>
      <c r="B340" s="164"/>
      <c r="C340" s="164"/>
      <c r="D340" s="164"/>
      <c r="E340" s="164"/>
      <c r="F340" s="164"/>
      <c r="G340" s="164"/>
    </row>
    <row r="341" spans="1:7">
      <c r="A341" s="164"/>
      <c r="B341" s="164"/>
      <c r="C341" s="164"/>
      <c r="D341" s="164"/>
      <c r="E341" s="164"/>
      <c r="F341" s="164"/>
      <c r="G341" s="164"/>
    </row>
    <row r="342" spans="1:7">
      <c r="A342" s="164"/>
      <c r="B342" s="164"/>
      <c r="C342" s="164"/>
      <c r="D342" s="164"/>
      <c r="E342" s="164"/>
      <c r="F342" s="164"/>
      <c r="G342" s="164"/>
    </row>
    <row r="343" spans="1:7">
      <c r="A343" s="164"/>
      <c r="B343" s="164"/>
      <c r="C343" s="164"/>
      <c r="D343" s="164"/>
      <c r="E343" s="164"/>
      <c r="F343" s="164"/>
      <c r="G343" s="164"/>
    </row>
    <row r="344" spans="1:7">
      <c r="A344" s="164"/>
      <c r="B344" s="164"/>
      <c r="C344" s="164"/>
      <c r="D344" s="164"/>
      <c r="E344" s="164"/>
      <c r="F344" s="164"/>
      <c r="G344" s="164"/>
    </row>
    <row r="345" spans="1:7">
      <c r="A345" s="164"/>
      <c r="B345" s="164"/>
      <c r="C345" s="164"/>
      <c r="D345" s="164"/>
      <c r="E345" s="164"/>
      <c r="F345" s="164"/>
      <c r="G345" s="164"/>
    </row>
    <row r="346" spans="1:7">
      <c r="A346" s="164"/>
      <c r="B346" s="164"/>
      <c r="C346" s="164"/>
      <c r="D346" s="164"/>
      <c r="E346" s="164"/>
      <c r="F346" s="164"/>
      <c r="G346" s="164"/>
    </row>
    <row r="347" spans="1:7">
      <c r="A347" s="164"/>
      <c r="B347" s="164"/>
      <c r="C347" s="164"/>
      <c r="D347" s="164"/>
      <c r="E347" s="164"/>
      <c r="F347" s="164"/>
      <c r="G347" s="164"/>
    </row>
    <row r="348" spans="1:7">
      <c r="A348" s="164"/>
      <c r="B348" s="164"/>
      <c r="C348" s="164"/>
      <c r="D348" s="164"/>
      <c r="E348" s="164"/>
      <c r="F348" s="164"/>
      <c r="G348" s="164"/>
    </row>
    <row r="349" spans="1:7">
      <c r="A349" s="164"/>
      <c r="B349" s="164"/>
      <c r="C349" s="164"/>
      <c r="D349" s="164"/>
      <c r="E349" s="164"/>
      <c r="F349" s="164"/>
      <c r="G349" s="164"/>
    </row>
    <row r="350" spans="1:7">
      <c r="A350" s="164"/>
      <c r="B350" s="164"/>
      <c r="C350" s="164"/>
      <c r="D350" s="164"/>
      <c r="E350" s="164"/>
      <c r="F350" s="164"/>
      <c r="G350" s="164"/>
    </row>
    <row r="351" spans="1:7">
      <c r="A351" s="164"/>
      <c r="B351" s="164"/>
      <c r="C351" s="164"/>
      <c r="D351" s="164"/>
      <c r="E351" s="164"/>
      <c r="F351" s="164"/>
      <c r="G351" s="164"/>
    </row>
    <row r="352" spans="1:7">
      <c r="A352" s="164"/>
      <c r="B352" s="164"/>
      <c r="C352" s="164"/>
      <c r="D352" s="164"/>
      <c r="E352" s="164"/>
      <c r="F352" s="164"/>
      <c r="G352" s="164"/>
    </row>
    <row r="353" spans="1:7">
      <c r="A353" s="164"/>
      <c r="B353" s="164"/>
      <c r="C353" s="164"/>
      <c r="D353" s="164"/>
      <c r="E353" s="164"/>
      <c r="F353" s="164"/>
      <c r="G353" s="164"/>
    </row>
    <row r="354" spans="1:7">
      <c r="A354" s="164"/>
      <c r="B354" s="164"/>
      <c r="C354" s="164"/>
      <c r="D354" s="164"/>
      <c r="E354" s="164"/>
      <c r="F354" s="164"/>
      <c r="G354" s="164"/>
    </row>
    <row r="355" spans="1:7">
      <c r="A355" s="164"/>
      <c r="B355" s="164"/>
      <c r="C355" s="164"/>
      <c r="D355" s="164"/>
      <c r="E355" s="164"/>
      <c r="F355" s="164"/>
      <c r="G355" s="164"/>
    </row>
    <row r="356" spans="1:7">
      <c r="A356" s="164"/>
      <c r="B356" s="164"/>
      <c r="C356" s="164"/>
      <c r="D356" s="164"/>
      <c r="E356" s="164"/>
      <c r="F356" s="164"/>
      <c r="G356" s="164"/>
    </row>
    <row r="357" spans="1:7">
      <c r="A357" s="164"/>
      <c r="B357" s="164"/>
      <c r="C357" s="164"/>
      <c r="D357" s="164"/>
      <c r="E357" s="164"/>
      <c r="F357" s="164"/>
      <c r="G357" s="164"/>
    </row>
    <row r="358" spans="1:7">
      <c r="A358" s="164"/>
      <c r="B358" s="164"/>
      <c r="C358" s="164"/>
      <c r="D358" s="164"/>
      <c r="E358" s="164"/>
      <c r="F358" s="164"/>
      <c r="G358" s="164"/>
    </row>
    <row r="359" spans="1:7">
      <c r="A359" s="164"/>
      <c r="B359" s="164"/>
      <c r="C359" s="164"/>
      <c r="D359" s="164"/>
      <c r="E359" s="164"/>
      <c r="F359" s="164"/>
      <c r="G359" s="164"/>
    </row>
    <row r="360" spans="1:7">
      <c r="A360" s="164"/>
      <c r="B360" s="164"/>
      <c r="C360" s="164"/>
      <c r="D360" s="164"/>
      <c r="E360" s="164"/>
      <c r="F360" s="164"/>
      <c r="G360" s="164"/>
    </row>
    <row r="361" spans="1:7">
      <c r="A361" s="164"/>
      <c r="B361" s="164"/>
      <c r="C361" s="164"/>
      <c r="D361" s="164"/>
      <c r="E361" s="164"/>
      <c r="F361" s="164"/>
      <c r="G361" s="164"/>
    </row>
    <row r="362" spans="1:7">
      <c r="A362" s="164"/>
      <c r="B362" s="164"/>
      <c r="C362" s="164"/>
      <c r="D362" s="164"/>
      <c r="E362" s="164"/>
      <c r="F362" s="164"/>
      <c r="G362" s="164"/>
    </row>
    <row r="363" spans="1:7">
      <c r="A363" s="164"/>
      <c r="B363" s="164"/>
      <c r="C363" s="164"/>
      <c r="D363" s="164"/>
      <c r="E363" s="164"/>
      <c r="F363" s="164"/>
      <c r="G363" s="164"/>
    </row>
    <row r="364" spans="1:7">
      <c r="A364" s="164"/>
      <c r="B364" s="164"/>
      <c r="C364" s="164"/>
      <c r="D364" s="164"/>
      <c r="E364" s="164"/>
      <c r="F364" s="164"/>
      <c r="G364" s="164"/>
    </row>
    <row r="365" spans="1:7">
      <c r="A365" s="164"/>
      <c r="B365" s="164"/>
      <c r="C365" s="164"/>
      <c r="D365" s="164"/>
      <c r="E365" s="164"/>
      <c r="F365" s="164"/>
      <c r="G365" s="164"/>
    </row>
    <row r="366" spans="1:7">
      <c r="A366" s="164"/>
      <c r="B366" s="164"/>
      <c r="C366" s="164"/>
      <c r="D366" s="164"/>
      <c r="E366" s="164"/>
      <c r="F366" s="164"/>
      <c r="G366" s="164"/>
    </row>
    <row r="367" spans="1:7">
      <c r="A367" s="164"/>
      <c r="B367" s="164"/>
      <c r="C367" s="164"/>
      <c r="D367" s="164"/>
      <c r="E367" s="164"/>
      <c r="F367" s="164"/>
      <c r="G367" s="164"/>
    </row>
    <row r="368" spans="1:7">
      <c r="A368" s="164"/>
      <c r="B368" s="164"/>
      <c r="C368" s="164"/>
      <c r="D368" s="164"/>
      <c r="E368" s="164"/>
      <c r="F368" s="164"/>
      <c r="G368" s="164"/>
    </row>
    <row r="369" spans="1:7">
      <c r="A369" s="164"/>
      <c r="B369" s="164"/>
      <c r="C369" s="164"/>
      <c r="D369" s="164"/>
      <c r="E369" s="164"/>
      <c r="F369" s="164"/>
      <c r="G369" s="164"/>
    </row>
    <row r="370" spans="1:7">
      <c r="A370" s="164"/>
      <c r="B370" s="164"/>
      <c r="C370" s="164"/>
      <c r="D370" s="164"/>
      <c r="E370" s="164"/>
      <c r="F370" s="164"/>
      <c r="G370" s="164"/>
    </row>
    <row r="371" spans="1:7">
      <c r="A371" s="164"/>
      <c r="B371" s="164"/>
      <c r="C371" s="164"/>
      <c r="D371" s="164"/>
      <c r="E371" s="164"/>
      <c r="F371" s="164"/>
      <c r="G371" s="164"/>
    </row>
    <row r="372" spans="1:7">
      <c r="A372" s="164"/>
      <c r="B372" s="164"/>
      <c r="C372" s="164"/>
      <c r="D372" s="164"/>
      <c r="E372" s="164"/>
      <c r="F372" s="164"/>
      <c r="G372" s="164"/>
    </row>
    <row r="373" spans="1:7">
      <c r="A373" s="164"/>
      <c r="B373" s="164"/>
      <c r="C373" s="164"/>
      <c r="D373" s="164"/>
      <c r="E373" s="164"/>
      <c r="F373" s="164"/>
      <c r="G373" s="164"/>
    </row>
    <row r="374" spans="1:7">
      <c r="A374" s="164"/>
      <c r="B374" s="164"/>
      <c r="C374" s="164"/>
      <c r="D374" s="164"/>
      <c r="E374" s="164"/>
      <c r="F374" s="164"/>
      <c r="G374" s="164"/>
    </row>
    <row r="375" spans="1:7">
      <c r="A375" s="164"/>
      <c r="B375" s="164"/>
      <c r="C375" s="164"/>
      <c r="D375" s="164"/>
      <c r="E375" s="164"/>
      <c r="F375" s="164"/>
      <c r="G375" s="164"/>
    </row>
    <row r="376" spans="1:7">
      <c r="A376" s="164"/>
      <c r="B376" s="164"/>
      <c r="C376" s="164"/>
      <c r="D376" s="164"/>
      <c r="E376" s="164"/>
      <c r="F376" s="164"/>
      <c r="G376" s="164"/>
    </row>
    <row r="377" spans="1:7">
      <c r="A377" s="164"/>
      <c r="B377" s="164"/>
      <c r="C377" s="164"/>
      <c r="D377" s="164"/>
      <c r="E377" s="164"/>
      <c r="F377" s="164"/>
      <c r="G377" s="164"/>
    </row>
    <row r="378" spans="1:7">
      <c r="A378" s="164"/>
      <c r="B378" s="164"/>
      <c r="C378" s="164"/>
      <c r="D378" s="164"/>
      <c r="E378" s="164"/>
      <c r="F378" s="164"/>
      <c r="G378" s="164"/>
    </row>
    <row r="379" spans="1:7">
      <c r="A379" s="164"/>
      <c r="B379" s="164"/>
      <c r="C379" s="164"/>
      <c r="D379" s="164"/>
      <c r="E379" s="164"/>
      <c r="F379" s="164"/>
      <c r="G379" s="164"/>
    </row>
    <row r="380" spans="1:7">
      <c r="A380" s="164"/>
      <c r="B380" s="164"/>
      <c r="C380" s="164"/>
      <c r="D380" s="164"/>
      <c r="E380" s="164"/>
      <c r="F380" s="164"/>
      <c r="G380" s="164"/>
    </row>
    <row r="381" spans="1:7">
      <c r="A381" s="164"/>
      <c r="B381" s="164"/>
      <c r="C381" s="164"/>
      <c r="D381" s="164"/>
      <c r="E381" s="164"/>
      <c r="F381" s="164"/>
      <c r="G381" s="164"/>
    </row>
    <row r="382" spans="1:7">
      <c r="A382" s="164"/>
      <c r="B382" s="164"/>
      <c r="C382" s="164"/>
      <c r="D382" s="164"/>
      <c r="E382" s="164"/>
      <c r="F382" s="164"/>
      <c r="G382" s="164"/>
    </row>
    <row r="383" spans="1:7">
      <c r="A383" s="164"/>
      <c r="B383" s="164"/>
      <c r="C383" s="164"/>
      <c r="D383" s="164"/>
      <c r="E383" s="164"/>
      <c r="F383" s="164"/>
      <c r="G383" s="164"/>
    </row>
    <row r="384" spans="1:7">
      <c r="A384" s="164"/>
      <c r="B384" s="164"/>
      <c r="C384" s="164"/>
      <c r="D384" s="164"/>
      <c r="E384" s="164"/>
      <c r="F384" s="164"/>
      <c r="G384" s="164"/>
    </row>
    <row r="385" spans="1:7">
      <c r="A385" s="164"/>
      <c r="B385" s="164"/>
      <c r="C385" s="164"/>
      <c r="D385" s="164"/>
      <c r="E385" s="164"/>
      <c r="F385" s="164"/>
      <c r="G385" s="164"/>
    </row>
    <row r="386" spans="1:7">
      <c r="A386" s="164"/>
      <c r="B386" s="164"/>
      <c r="C386" s="164"/>
      <c r="D386" s="164"/>
      <c r="E386" s="164"/>
      <c r="F386" s="164"/>
      <c r="G386" s="164"/>
    </row>
    <row r="387" spans="1:7">
      <c r="A387" s="164"/>
      <c r="B387" s="164"/>
      <c r="C387" s="164"/>
      <c r="D387" s="164"/>
      <c r="E387" s="164"/>
      <c r="F387" s="164"/>
      <c r="G387" s="164"/>
    </row>
    <row r="388" spans="1:7">
      <c r="A388" s="164"/>
      <c r="B388" s="164"/>
      <c r="C388" s="164"/>
      <c r="D388" s="164"/>
      <c r="E388" s="164"/>
      <c r="F388" s="164"/>
      <c r="G388" s="164"/>
    </row>
    <row r="389" spans="1:7">
      <c r="A389" s="164"/>
      <c r="B389" s="164"/>
      <c r="C389" s="164"/>
      <c r="D389" s="164"/>
      <c r="E389" s="164"/>
      <c r="F389" s="164"/>
      <c r="G389" s="164"/>
    </row>
    <row r="390" spans="1:7">
      <c r="A390" s="164"/>
      <c r="B390" s="164"/>
      <c r="C390" s="164"/>
      <c r="D390" s="164"/>
      <c r="E390" s="164"/>
      <c r="F390" s="164"/>
      <c r="G390" s="164"/>
    </row>
    <row r="391" spans="1:7">
      <c r="A391" s="164"/>
      <c r="B391" s="164"/>
      <c r="C391" s="164"/>
      <c r="D391" s="164"/>
      <c r="E391" s="164"/>
      <c r="F391" s="164"/>
      <c r="G391" s="164"/>
    </row>
    <row r="392" spans="1:7">
      <c r="A392" s="164"/>
      <c r="B392" s="164"/>
      <c r="C392" s="164"/>
      <c r="D392" s="164"/>
      <c r="E392" s="164"/>
      <c r="F392" s="164"/>
      <c r="G392" s="164"/>
    </row>
    <row r="393" spans="1:7">
      <c r="A393" s="164"/>
      <c r="B393" s="164"/>
      <c r="C393" s="164"/>
      <c r="D393" s="164"/>
      <c r="E393" s="164"/>
      <c r="F393" s="164"/>
      <c r="G393" s="164"/>
    </row>
    <row r="394" spans="1:7">
      <c r="A394" s="164"/>
      <c r="B394" s="164"/>
      <c r="C394" s="164"/>
      <c r="D394" s="164"/>
      <c r="E394" s="164"/>
      <c r="F394" s="164"/>
      <c r="G394" s="164"/>
    </row>
    <row r="395" spans="1:7">
      <c r="A395" s="164"/>
      <c r="B395" s="164"/>
      <c r="C395" s="164"/>
      <c r="D395" s="164"/>
      <c r="E395" s="164"/>
      <c r="F395" s="164"/>
      <c r="G395" s="164"/>
    </row>
    <row r="396" spans="1:7">
      <c r="A396" s="164"/>
      <c r="B396" s="164"/>
      <c r="C396" s="164"/>
      <c r="D396" s="164"/>
      <c r="E396" s="164"/>
      <c r="F396" s="164"/>
      <c r="G396" s="164"/>
    </row>
    <row r="397" spans="1:7">
      <c r="A397" s="164"/>
      <c r="B397" s="164"/>
      <c r="C397" s="164"/>
      <c r="D397" s="164"/>
      <c r="E397" s="164"/>
      <c r="F397" s="164"/>
      <c r="G397" s="164"/>
    </row>
    <row r="398" spans="1:7">
      <c r="A398" s="164"/>
      <c r="B398" s="164"/>
      <c r="C398" s="164"/>
      <c r="D398" s="164"/>
      <c r="E398" s="164"/>
      <c r="F398" s="164"/>
      <c r="G398" s="164"/>
    </row>
    <row r="399" spans="1:7">
      <c r="A399" s="164"/>
      <c r="B399" s="164"/>
      <c r="C399" s="164"/>
      <c r="D399" s="164"/>
      <c r="E399" s="164"/>
      <c r="F399" s="164"/>
      <c r="G399" s="164"/>
    </row>
    <row r="400" spans="1:7">
      <c r="A400" s="164"/>
      <c r="B400" s="164"/>
      <c r="C400" s="164"/>
      <c r="D400" s="164"/>
      <c r="E400" s="164"/>
      <c r="F400" s="164"/>
      <c r="G400" s="164"/>
    </row>
    <row r="401" spans="1:7">
      <c r="A401" s="164"/>
      <c r="B401" s="164"/>
      <c r="C401" s="164"/>
      <c r="D401" s="164"/>
      <c r="E401" s="164"/>
      <c r="F401" s="164"/>
      <c r="G401" s="164"/>
    </row>
    <row r="402" spans="1:7">
      <c r="A402" s="164"/>
      <c r="B402" s="164"/>
      <c r="C402" s="164"/>
      <c r="D402" s="164"/>
      <c r="E402" s="164"/>
      <c r="F402" s="164"/>
      <c r="G402" s="164"/>
    </row>
    <row r="403" spans="1:7">
      <c r="A403" s="164"/>
      <c r="B403" s="164"/>
      <c r="C403" s="164"/>
      <c r="D403" s="164"/>
      <c r="E403" s="164"/>
      <c r="F403" s="164"/>
      <c r="G403" s="164"/>
    </row>
    <row r="404" spans="1:7">
      <c r="A404" s="164"/>
      <c r="B404" s="164"/>
      <c r="C404" s="164"/>
      <c r="D404" s="164"/>
      <c r="E404" s="164"/>
      <c r="F404" s="164"/>
      <c r="G404" s="164"/>
    </row>
    <row r="405" spans="1:7">
      <c r="A405" s="164"/>
      <c r="B405" s="164"/>
      <c r="C405" s="164"/>
      <c r="D405" s="164"/>
      <c r="E405" s="164"/>
      <c r="F405" s="164"/>
      <c r="G405" s="164"/>
    </row>
    <row r="406" spans="1:7">
      <c r="A406" s="164"/>
      <c r="B406" s="164"/>
      <c r="C406" s="164"/>
      <c r="D406" s="164"/>
      <c r="E406" s="164"/>
      <c r="F406" s="164"/>
      <c r="G406" s="164"/>
    </row>
    <row r="407" spans="1:7">
      <c r="A407" s="164"/>
      <c r="B407" s="164"/>
      <c r="C407" s="164"/>
      <c r="D407" s="164"/>
      <c r="E407" s="164"/>
      <c r="F407" s="164"/>
      <c r="G407" s="164"/>
    </row>
    <row r="408" spans="1:7">
      <c r="A408" s="164"/>
      <c r="B408" s="164"/>
      <c r="C408" s="164"/>
      <c r="D408" s="164"/>
      <c r="E408" s="164"/>
      <c r="F408" s="164"/>
      <c r="G408" s="164"/>
    </row>
    <row r="409" spans="1:7">
      <c r="A409" s="164"/>
      <c r="B409" s="164"/>
      <c r="C409" s="164"/>
      <c r="D409" s="164"/>
      <c r="E409" s="164"/>
      <c r="F409" s="164"/>
      <c r="G409" s="164"/>
    </row>
    <row r="410" spans="1:7">
      <c r="A410" s="164"/>
      <c r="B410" s="164"/>
      <c r="C410" s="164"/>
      <c r="D410" s="164"/>
      <c r="E410" s="164"/>
      <c r="F410" s="164"/>
      <c r="G410" s="164"/>
    </row>
    <row r="411" spans="1:7">
      <c r="A411" s="164"/>
      <c r="B411" s="164"/>
      <c r="C411" s="164"/>
      <c r="D411" s="164"/>
      <c r="E411" s="164"/>
      <c r="F411" s="164"/>
      <c r="G411" s="164"/>
    </row>
    <row r="412" spans="1:7">
      <c r="A412" s="164"/>
      <c r="B412" s="164"/>
      <c r="C412" s="164"/>
      <c r="D412" s="164"/>
      <c r="E412" s="164"/>
      <c r="F412" s="164"/>
      <c r="G412" s="164"/>
    </row>
    <row r="413" spans="1:7">
      <c r="A413" s="164"/>
      <c r="B413" s="164"/>
      <c r="C413" s="164"/>
      <c r="D413" s="164"/>
      <c r="E413" s="164"/>
      <c r="F413" s="164"/>
      <c r="G413" s="164"/>
    </row>
    <row r="414" spans="1:7">
      <c r="A414" s="164"/>
      <c r="B414" s="164"/>
      <c r="C414" s="164"/>
      <c r="D414" s="164"/>
      <c r="E414" s="164"/>
      <c r="F414" s="164"/>
      <c r="G414" s="164"/>
    </row>
  </sheetData>
  <mergeCells count="22">
    <mergeCell ref="Y4:AJ4"/>
    <mergeCell ref="Y6:AJ6"/>
    <mergeCell ref="D215:E215"/>
    <mergeCell ref="B170:F170"/>
    <mergeCell ref="B159:F159"/>
    <mergeCell ref="B165:F165"/>
    <mergeCell ref="B166:G166"/>
    <mergeCell ref="B167:I167"/>
    <mergeCell ref="B168:G168"/>
    <mergeCell ref="B169:F169"/>
    <mergeCell ref="B1:M1"/>
    <mergeCell ref="A2:M2"/>
    <mergeCell ref="F11:H11"/>
    <mergeCell ref="B157:G157"/>
    <mergeCell ref="B158:F158"/>
    <mergeCell ref="B153:E153"/>
    <mergeCell ref="B154:F154"/>
    <mergeCell ref="B155:G155"/>
    <mergeCell ref="B156:I156"/>
    <mergeCell ref="C5:N5"/>
    <mergeCell ref="C6:N6"/>
    <mergeCell ref="C7:N7"/>
  </mergeCells>
  <phoneticPr fontId="0" type="noConversion"/>
  <printOptions horizontalCentered="1"/>
  <pageMargins left="0.31496062992125984" right="0.31496062992125984" top="0.59055118110236227" bottom="0.59055118110236227" header="0" footer="0"/>
  <pageSetup paperSize="9" scale="80" orientation="portrait" blackAndWhite="1" horizontalDpi="4294967292" verticalDpi="300" r:id="rId1"/>
  <headerFooter alignWithMargins="0"/>
  <rowBreaks count="3" manualBreakCount="3">
    <brk id="56" max="23" man="1"/>
    <brk id="111" max="23" man="1"/>
    <brk id="186" max="23" man="1"/>
  </rowBreaks>
  <colBreaks count="1" manualBreakCount="1">
    <brk id="14" max="1048575" man="1"/>
  </colBreaks>
  <ignoredErrors>
    <ignoredError sqref="F172 B18" unlockedFormula="1"/>
    <ignoredError sqref="K174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W126"/>
  <sheetViews>
    <sheetView showGridLines="0" view="pageBreakPreview" zoomScaleSheetLayoutView="100" workbookViewId="0">
      <selection activeCell="D19" sqref="D19"/>
    </sheetView>
  </sheetViews>
  <sheetFormatPr defaultColWidth="9.140625" defaultRowHeight="21.75"/>
  <cols>
    <col min="1" max="1" width="4.28515625" style="568" customWidth="1"/>
    <col min="2" max="2" width="4.28515625" style="462" customWidth="1"/>
    <col min="3" max="3" width="2.140625" style="462" customWidth="1"/>
    <col min="4" max="4" width="22.140625" style="568" customWidth="1"/>
    <col min="5" max="5" width="11" style="568" customWidth="1"/>
    <col min="6" max="6" width="6.85546875" style="568" customWidth="1"/>
    <col min="7" max="8" width="2.140625" style="568" customWidth="1"/>
    <col min="9" max="9" width="22.140625" style="568" customWidth="1"/>
    <col min="10" max="10" width="11" style="568" customWidth="1"/>
    <col min="11" max="11" width="6.85546875" style="568" customWidth="1"/>
    <col min="12" max="13" width="4.28515625" style="568" customWidth="1"/>
    <col min="14" max="16384" width="9.140625" style="568"/>
  </cols>
  <sheetData>
    <row r="1" spans="1:23">
      <c r="A1" s="569"/>
      <c r="B1" s="468"/>
      <c r="C1" s="468"/>
      <c r="D1" s="569"/>
      <c r="E1" s="569"/>
      <c r="F1" s="569"/>
      <c r="G1" s="569"/>
      <c r="H1" s="569"/>
      <c r="I1" s="569"/>
      <c r="J1" s="569"/>
      <c r="K1" s="569"/>
      <c r="L1" s="569"/>
      <c r="M1" s="569"/>
    </row>
    <row r="2" spans="1:23" ht="21.75" customHeight="1">
      <c r="A2" s="1900" t="s">
        <v>473</v>
      </c>
      <c r="B2" s="1900"/>
      <c r="C2" s="1900"/>
      <c r="D2" s="1900"/>
      <c r="E2" s="1900"/>
      <c r="F2" s="1900"/>
      <c r="G2" s="1900"/>
      <c r="H2" s="1900"/>
      <c r="I2" s="1900"/>
      <c r="J2" s="1900"/>
      <c r="K2" s="1900"/>
      <c r="L2" s="1900"/>
      <c r="M2" s="1900"/>
    </row>
    <row r="3" spans="1:23" ht="21.75" customHeight="1">
      <c r="A3" s="1901" t="str">
        <f>'1.ข้อมูล'!C5</f>
        <v xml:space="preserve">ปรับปรุงถนนคอนกรีตเสริมเหล็กโดยวิธีลาดยางแอสฟัลท์ติกคอนกรีต รหัสทางหลวงท้องถิ่น ขก.ถ. 166-12 สายจากทางหลวงหมายเลข 2233 </v>
      </c>
      <c r="B3" s="1901"/>
      <c r="C3" s="1901"/>
      <c r="D3" s="1901"/>
      <c r="E3" s="1901"/>
      <c r="F3" s="1901"/>
      <c r="G3" s="1901"/>
      <c r="H3" s="1901"/>
      <c r="I3" s="1901"/>
      <c r="J3" s="1901"/>
      <c r="K3" s="1901"/>
      <c r="L3" s="1901"/>
      <c r="M3" s="1901"/>
    </row>
    <row r="4" spans="1:23" ht="21.75" customHeight="1">
      <c r="A4" s="1901" t="e">
        <f>'1.ข้อมูล'!#REF!</f>
        <v>#REF!</v>
      </c>
      <c r="B4" s="1901"/>
      <c r="C4" s="1901"/>
      <c r="D4" s="1901"/>
      <c r="E4" s="1901"/>
      <c r="F4" s="1901"/>
      <c r="G4" s="1901"/>
      <c r="H4" s="1901"/>
      <c r="I4" s="1901"/>
      <c r="J4" s="1901"/>
      <c r="K4" s="1901"/>
      <c r="L4" s="1901"/>
      <c r="M4" s="1901"/>
    </row>
    <row r="5" spans="1:23" ht="21.75" customHeight="1">
      <c r="A5" s="1901" t="str">
        <f>CONCATENATE("สายทาง     ",'1.ข้อมูล'!C8,"  ",'1.ข้อมูล'!L8,"")</f>
        <v xml:space="preserve">สายทาง     สายทางหลวงท้องถิ่น หมายเลข ขก.ถ. 166-12 สายจากทางหลวงหมายเลข 2233 ถึงบ้านนางละม้าย ทองบัวบาน  </v>
      </c>
      <c r="B5" s="1901"/>
      <c r="C5" s="1901"/>
      <c r="D5" s="1901"/>
      <c r="E5" s="1901"/>
      <c r="F5" s="1901"/>
      <c r="G5" s="1901"/>
      <c r="H5" s="1901"/>
      <c r="I5" s="1901"/>
      <c r="J5" s="1901"/>
      <c r="K5" s="1901"/>
      <c r="L5" s="1901"/>
      <c r="M5" s="1901"/>
    </row>
    <row r="6" spans="1:23">
      <c r="A6" s="1901" t="e">
        <f>CONCATENATE("",'1.ข้อมูล'!C9,"      ระยะทางดำเนินการ  ",  '1.ข้อมูล'!#REF!,"   กิโลเมตร")</f>
        <v>#REF!</v>
      </c>
      <c r="B6" s="1901"/>
      <c r="C6" s="1901"/>
      <c r="D6" s="1901"/>
      <c r="E6" s="1901"/>
      <c r="F6" s="1901"/>
      <c r="G6" s="1901"/>
      <c r="H6" s="1901"/>
      <c r="I6" s="1901"/>
      <c r="J6" s="1901"/>
      <c r="K6" s="1901"/>
      <c r="L6" s="1901"/>
      <c r="M6" s="1901"/>
    </row>
    <row r="7" spans="1:23">
      <c r="A7" s="569"/>
      <c r="B7" s="468"/>
      <c r="C7" s="537"/>
      <c r="D7" s="569"/>
      <c r="E7" s="569"/>
      <c r="F7" s="569"/>
      <c r="G7" s="569"/>
      <c r="H7" s="569"/>
      <c r="I7" s="569"/>
      <c r="J7" s="569"/>
      <c r="K7" s="569"/>
      <c r="L7" s="569"/>
      <c r="M7" s="569"/>
    </row>
    <row r="8" spans="1:23" ht="21.75" customHeight="1">
      <c r="A8" s="569"/>
      <c r="B8" s="468"/>
      <c r="C8" s="1902" t="s">
        <v>968</v>
      </c>
      <c r="D8" s="1903"/>
      <c r="E8" s="1903"/>
      <c r="F8" s="1904"/>
      <c r="G8" s="573"/>
      <c r="H8" s="1902" t="s">
        <v>931</v>
      </c>
      <c r="I8" s="1903"/>
      <c r="J8" s="1903"/>
      <c r="K8" s="1904"/>
      <c r="L8" s="569"/>
      <c r="M8" s="569"/>
      <c r="O8" s="568" t="s">
        <v>493</v>
      </c>
      <c r="S8" s="568" t="s">
        <v>544</v>
      </c>
    </row>
    <row r="9" spans="1:23">
      <c r="A9" s="569"/>
      <c r="B9" s="468"/>
      <c r="C9" s="590"/>
      <c r="D9" s="573" t="s">
        <v>474</v>
      </c>
      <c r="E9" s="589">
        <v>0</v>
      </c>
      <c r="F9" s="598" t="s">
        <v>37</v>
      </c>
      <c r="G9" s="573"/>
      <c r="H9" s="590"/>
      <c r="I9" s="573" t="s">
        <v>474</v>
      </c>
      <c r="J9" s="621"/>
      <c r="K9" s="598" t="s">
        <v>37</v>
      </c>
      <c r="L9" s="569"/>
      <c r="M9" s="569"/>
      <c r="O9" s="568" t="s">
        <v>480</v>
      </c>
      <c r="Q9" s="580">
        <f>+E15+J15+E30+J30+E45</f>
        <v>23400</v>
      </c>
      <c r="R9" s="581" t="s">
        <v>26</v>
      </c>
      <c r="S9" s="568" t="s">
        <v>480</v>
      </c>
      <c r="U9" s="580">
        <f>J45</f>
        <v>0</v>
      </c>
      <c r="V9" s="581" t="s">
        <v>26</v>
      </c>
    </row>
    <row r="10" spans="1:23">
      <c r="A10" s="569"/>
      <c r="B10" s="518"/>
      <c r="C10" s="592"/>
      <c r="D10" s="573" t="s">
        <v>478</v>
      </c>
      <c r="E10" s="575">
        <v>3900</v>
      </c>
      <c r="F10" s="598" t="s">
        <v>37</v>
      </c>
      <c r="G10" s="573"/>
      <c r="H10" s="592"/>
      <c r="I10" s="573" t="s">
        <v>478</v>
      </c>
      <c r="J10" s="622"/>
      <c r="K10" s="598" t="s">
        <v>37</v>
      </c>
      <c r="L10" s="569"/>
      <c r="M10" s="569"/>
      <c r="O10" s="568" t="s">
        <v>481</v>
      </c>
      <c r="Q10" s="580">
        <f>+E16+J16+E31+J31+E46</f>
        <v>7800</v>
      </c>
      <c r="R10" s="581" t="s">
        <v>26</v>
      </c>
      <c r="S10" s="568" t="s">
        <v>481</v>
      </c>
      <c r="U10" s="580">
        <f>J46</f>
        <v>0</v>
      </c>
      <c r="V10" s="581" t="s">
        <v>26</v>
      </c>
    </row>
    <row r="11" spans="1:23">
      <c r="A11" s="569"/>
      <c r="B11" s="468"/>
      <c r="C11" s="590"/>
      <c r="D11" s="573" t="s">
        <v>497</v>
      </c>
      <c r="E11" s="578">
        <f>+(E10-E9)/1000</f>
        <v>3.9</v>
      </c>
      <c r="F11" s="598" t="s">
        <v>37</v>
      </c>
      <c r="G11" s="573"/>
      <c r="H11" s="590"/>
      <c r="I11" s="573" t="s">
        <v>487</v>
      </c>
      <c r="J11" s="618">
        <f>+((J10-J9)/1000)</f>
        <v>0</v>
      </c>
      <c r="K11" s="598" t="s">
        <v>37</v>
      </c>
      <c r="L11" s="569"/>
      <c r="M11" s="569"/>
    </row>
    <row r="12" spans="1:23">
      <c r="A12" s="569"/>
      <c r="B12" s="570"/>
      <c r="C12" s="593"/>
      <c r="D12" s="573" t="s">
        <v>479</v>
      </c>
      <c r="E12" s="576">
        <v>6</v>
      </c>
      <c r="F12" s="598" t="s">
        <v>195</v>
      </c>
      <c r="G12" s="573"/>
      <c r="H12" s="593"/>
      <c r="I12" s="573" t="s">
        <v>479</v>
      </c>
      <c r="J12" s="620"/>
      <c r="K12" s="598" t="s">
        <v>195</v>
      </c>
      <c r="L12" s="569"/>
      <c r="M12" s="569"/>
      <c r="O12" s="568" t="s">
        <v>482</v>
      </c>
      <c r="Q12" s="580">
        <f>Q9+Q10</f>
        <v>31200</v>
      </c>
      <c r="R12" s="581" t="s">
        <v>26</v>
      </c>
      <c r="S12" s="568" t="s">
        <v>482</v>
      </c>
      <c r="U12" s="580">
        <f>U9+U10</f>
        <v>0</v>
      </c>
      <c r="V12" s="581" t="s">
        <v>26</v>
      </c>
    </row>
    <row r="13" spans="1:23">
      <c r="A13" s="569"/>
      <c r="B13" s="571"/>
      <c r="C13" s="594"/>
      <c r="D13" s="573" t="s">
        <v>475</v>
      </c>
      <c r="E13" s="576">
        <v>1</v>
      </c>
      <c r="F13" s="598" t="s">
        <v>195</v>
      </c>
      <c r="G13" s="573"/>
      <c r="H13" s="594"/>
      <c r="I13" s="573" t="s">
        <v>475</v>
      </c>
      <c r="J13" s="620"/>
      <c r="K13" s="598" t="s">
        <v>195</v>
      </c>
      <c r="L13" s="569"/>
      <c r="M13" s="569"/>
    </row>
    <row r="14" spans="1:23">
      <c r="A14" s="569"/>
      <c r="B14" s="518"/>
      <c r="C14" s="592"/>
      <c r="D14" s="573"/>
      <c r="E14" s="573"/>
      <c r="F14" s="598"/>
      <c r="G14" s="573"/>
      <c r="H14" s="592"/>
      <c r="I14" s="573"/>
      <c r="J14" s="613"/>
      <c r="K14" s="598"/>
      <c r="L14" s="569"/>
      <c r="M14" s="569"/>
    </row>
    <row r="15" spans="1:23">
      <c r="A15" s="569"/>
      <c r="B15" s="468"/>
      <c r="C15" s="590"/>
      <c r="D15" s="573" t="s">
        <v>476</v>
      </c>
      <c r="E15" s="587">
        <f>(E11*1000)*E12</f>
        <v>23400</v>
      </c>
      <c r="F15" s="598" t="s">
        <v>26</v>
      </c>
      <c r="G15" s="573"/>
      <c r="H15" s="590"/>
      <c r="I15" s="573" t="s">
        <v>476</v>
      </c>
      <c r="J15" s="623">
        <f>(J11*1000)*J12</f>
        <v>0</v>
      </c>
      <c r="K15" s="598" t="s">
        <v>26</v>
      </c>
      <c r="L15" s="569"/>
      <c r="M15" s="569"/>
    </row>
    <row r="16" spans="1:23">
      <c r="A16" s="569"/>
      <c r="B16" s="468"/>
      <c r="C16" s="590"/>
      <c r="D16" s="573" t="s">
        <v>477</v>
      </c>
      <c r="E16" s="587">
        <f>(E11*1000)*E13*2</f>
        <v>7800</v>
      </c>
      <c r="F16" s="598" t="s">
        <v>26</v>
      </c>
      <c r="G16" s="573"/>
      <c r="H16" s="590"/>
      <c r="I16" s="573" t="s">
        <v>477</v>
      </c>
      <c r="J16" s="623">
        <f>(J11*1000)*J13*2</f>
        <v>0</v>
      </c>
      <c r="K16" s="598" t="s">
        <v>26</v>
      </c>
      <c r="L16" s="569"/>
      <c r="M16" s="569"/>
      <c r="W16" s="568">
        <f>17695-16485</f>
        <v>1210</v>
      </c>
    </row>
    <row r="17" spans="1:13">
      <c r="A17" s="569"/>
      <c r="B17" s="468"/>
      <c r="C17" s="590"/>
      <c r="D17" s="573" t="s">
        <v>959</v>
      </c>
      <c r="E17" s="588">
        <v>0.05</v>
      </c>
      <c r="F17" s="598" t="s">
        <v>195</v>
      </c>
      <c r="G17" s="573"/>
      <c r="H17" s="590"/>
      <c r="I17" s="573" t="s">
        <v>958</v>
      </c>
      <c r="J17" s="619"/>
      <c r="K17" s="598" t="s">
        <v>195</v>
      </c>
      <c r="L17" s="569"/>
      <c r="M17" s="569"/>
    </row>
    <row r="18" spans="1:13">
      <c r="A18" s="569"/>
      <c r="B18" s="518"/>
      <c r="C18" s="592"/>
      <c r="D18" s="968" t="s">
        <v>960</v>
      </c>
      <c r="E18" s="587">
        <f>+(E15+E16)*E17</f>
        <v>1560</v>
      </c>
      <c r="F18" s="598" t="s">
        <v>27</v>
      </c>
      <c r="G18" s="573"/>
      <c r="H18" s="592"/>
      <c r="I18" s="968" t="s">
        <v>960</v>
      </c>
      <c r="J18" s="617">
        <f>+((J15+J16)*J17)*0+(((J13*2)+(J17*2))*J17*J11*1000)</f>
        <v>0</v>
      </c>
      <c r="K18" s="598" t="s">
        <v>27</v>
      </c>
      <c r="L18" s="569"/>
      <c r="M18" s="569"/>
    </row>
    <row r="19" spans="1:13">
      <c r="A19" s="569"/>
      <c r="B19" s="468"/>
      <c r="C19" s="590"/>
      <c r="D19" s="573"/>
      <c r="E19" s="573"/>
      <c r="F19" s="598"/>
      <c r="G19" s="573"/>
      <c r="H19" s="590"/>
      <c r="I19" s="574"/>
      <c r="J19" s="613"/>
      <c r="K19" s="591"/>
      <c r="L19" s="569"/>
      <c r="M19" s="569"/>
    </row>
    <row r="20" spans="1:13">
      <c r="A20" s="569"/>
      <c r="B20" s="468"/>
      <c r="C20" s="590"/>
      <c r="D20" s="574" t="s">
        <v>496</v>
      </c>
      <c r="E20" s="599">
        <f>+E15+E16</f>
        <v>31200</v>
      </c>
      <c r="F20" s="591" t="s">
        <v>26</v>
      </c>
      <c r="G20" s="573"/>
      <c r="H20" s="590"/>
      <c r="I20" s="574" t="s">
        <v>496</v>
      </c>
      <c r="J20" s="599">
        <f>+J15+J16</f>
        <v>0</v>
      </c>
      <c r="K20" s="591" t="s">
        <v>26</v>
      </c>
      <c r="L20" s="569"/>
      <c r="M20" s="569"/>
    </row>
    <row r="21" spans="1:13">
      <c r="A21" s="569"/>
      <c r="B21" s="468"/>
      <c r="C21" s="595"/>
      <c r="D21" s="596"/>
      <c r="E21" s="596"/>
      <c r="F21" s="597"/>
      <c r="G21" s="573"/>
      <c r="H21" s="595"/>
      <c r="I21" s="596"/>
      <c r="J21" s="596"/>
      <c r="K21" s="597"/>
      <c r="L21" s="569"/>
      <c r="M21" s="569"/>
    </row>
    <row r="22" spans="1:13">
      <c r="A22" s="569"/>
      <c r="B22" s="468"/>
      <c r="C22" s="468"/>
      <c r="D22" s="573"/>
      <c r="E22" s="573"/>
      <c r="F22" s="573"/>
      <c r="G22" s="573"/>
      <c r="H22" s="573"/>
      <c r="I22" s="573"/>
      <c r="J22" s="573"/>
      <c r="K22" s="573"/>
      <c r="L22" s="569"/>
      <c r="M22" s="569"/>
    </row>
    <row r="23" spans="1:13">
      <c r="A23" s="569"/>
      <c r="B23" s="468"/>
      <c r="C23" s="1902" t="s">
        <v>969</v>
      </c>
      <c r="D23" s="1903"/>
      <c r="E23" s="1903"/>
      <c r="F23" s="1904"/>
      <c r="G23" s="573"/>
      <c r="H23" s="1902" t="s">
        <v>933</v>
      </c>
      <c r="I23" s="1903"/>
      <c r="J23" s="1903"/>
      <c r="K23" s="1904"/>
      <c r="L23" s="569"/>
      <c r="M23" s="569"/>
    </row>
    <row r="24" spans="1:13">
      <c r="A24" s="569"/>
      <c r="B24" s="535"/>
      <c r="C24" s="590"/>
      <c r="D24" s="573" t="s">
        <v>474</v>
      </c>
      <c r="E24" s="589"/>
      <c r="F24" s="598" t="s">
        <v>37</v>
      </c>
      <c r="G24" s="573"/>
      <c r="H24" s="590"/>
      <c r="I24" s="573" t="s">
        <v>474</v>
      </c>
      <c r="J24" s="589"/>
      <c r="K24" s="598" t="s">
        <v>37</v>
      </c>
      <c r="L24" s="569"/>
      <c r="M24" s="569"/>
    </row>
    <row r="25" spans="1:13">
      <c r="A25" s="569"/>
      <c r="B25" s="468"/>
      <c r="C25" s="592"/>
      <c r="D25" s="573" t="s">
        <v>478</v>
      </c>
      <c r="E25" s="575"/>
      <c r="F25" s="598" t="s">
        <v>37</v>
      </c>
      <c r="G25" s="573"/>
      <c r="H25" s="592"/>
      <c r="I25" s="573" t="s">
        <v>478</v>
      </c>
      <c r="J25" s="575"/>
      <c r="K25" s="598" t="s">
        <v>37</v>
      </c>
      <c r="L25" s="569"/>
      <c r="M25" s="569"/>
    </row>
    <row r="26" spans="1:13">
      <c r="A26" s="569"/>
      <c r="B26" s="468"/>
      <c r="C26" s="590"/>
      <c r="D26" s="573" t="s">
        <v>485</v>
      </c>
      <c r="E26" s="578">
        <f>+(E25-E24)/1000</f>
        <v>0</v>
      </c>
      <c r="F26" s="598" t="s">
        <v>37</v>
      </c>
      <c r="G26" s="573"/>
      <c r="H26" s="590"/>
      <c r="I26" s="573" t="s">
        <v>486</v>
      </c>
      <c r="J26" s="578">
        <f>+(J25-J24)/1000</f>
        <v>0</v>
      </c>
      <c r="K26" s="598" t="s">
        <v>37</v>
      </c>
      <c r="L26" s="569"/>
      <c r="M26" s="569"/>
    </row>
    <row r="27" spans="1:13">
      <c r="A27" s="569"/>
      <c r="B27" s="468"/>
      <c r="C27" s="593"/>
      <c r="D27" s="573" t="s">
        <v>479</v>
      </c>
      <c r="E27" s="576"/>
      <c r="F27" s="598" t="s">
        <v>195</v>
      </c>
      <c r="G27" s="573"/>
      <c r="H27" s="593"/>
      <c r="I27" s="573" t="s">
        <v>479</v>
      </c>
      <c r="J27" s="576">
        <v>0</v>
      </c>
      <c r="K27" s="598" t="s">
        <v>195</v>
      </c>
      <c r="L27" s="569"/>
      <c r="M27" s="569"/>
    </row>
    <row r="28" spans="1:13">
      <c r="A28" s="569"/>
      <c r="B28" s="535"/>
      <c r="C28" s="594"/>
      <c r="D28" s="573" t="s">
        <v>475</v>
      </c>
      <c r="E28" s="576"/>
      <c r="F28" s="598" t="s">
        <v>195</v>
      </c>
      <c r="G28" s="573"/>
      <c r="H28" s="594"/>
      <c r="I28" s="573" t="s">
        <v>475</v>
      </c>
      <c r="J28" s="576"/>
      <c r="K28" s="598" t="s">
        <v>195</v>
      </c>
      <c r="L28" s="569"/>
      <c r="M28" s="569"/>
    </row>
    <row r="29" spans="1:13">
      <c r="A29" s="569"/>
      <c r="B29" s="468"/>
      <c r="C29" s="592"/>
      <c r="D29" s="573"/>
      <c r="E29" s="613"/>
      <c r="F29" s="598"/>
      <c r="G29" s="573"/>
      <c r="H29" s="592"/>
      <c r="I29" s="573"/>
      <c r="J29" s="613"/>
      <c r="K29" s="598"/>
      <c r="L29" s="569"/>
      <c r="M29" s="569"/>
    </row>
    <row r="30" spans="1:13">
      <c r="A30" s="569"/>
      <c r="B30" s="468"/>
      <c r="C30" s="590"/>
      <c r="D30" s="573" t="s">
        <v>476</v>
      </c>
      <c r="E30" s="587">
        <f>(E26*1000)*E27</f>
        <v>0</v>
      </c>
      <c r="F30" s="598" t="s">
        <v>26</v>
      </c>
      <c r="G30" s="573"/>
      <c r="H30" s="590"/>
      <c r="I30" s="573" t="s">
        <v>476</v>
      </c>
      <c r="J30" s="587">
        <f>(J26*1000)*J27</f>
        <v>0</v>
      </c>
      <c r="K30" s="598" t="s">
        <v>26</v>
      </c>
      <c r="L30" s="569"/>
      <c r="M30" s="569"/>
    </row>
    <row r="31" spans="1:13">
      <c r="A31" s="569"/>
      <c r="B31" s="468"/>
      <c r="C31" s="590"/>
      <c r="D31" s="573" t="s">
        <v>477</v>
      </c>
      <c r="E31" s="587">
        <f>(E26*1000)*E28*2</f>
        <v>0</v>
      </c>
      <c r="F31" s="598" t="s">
        <v>26</v>
      </c>
      <c r="G31" s="573"/>
      <c r="H31" s="590"/>
      <c r="I31" s="573" t="s">
        <v>477</v>
      </c>
      <c r="J31" s="587">
        <f>(J26*1000)*J28*2</f>
        <v>0</v>
      </c>
      <c r="K31" s="598" t="s">
        <v>26</v>
      </c>
      <c r="L31" s="569"/>
      <c r="M31" s="569"/>
    </row>
    <row r="32" spans="1:13">
      <c r="A32" s="569"/>
      <c r="B32" s="468"/>
      <c r="C32" s="590"/>
      <c r="D32" s="573" t="s">
        <v>959</v>
      </c>
      <c r="E32" s="588"/>
      <c r="F32" s="598" t="s">
        <v>195</v>
      </c>
      <c r="G32" s="573"/>
      <c r="H32" s="590"/>
      <c r="I32" s="573" t="s">
        <v>958</v>
      </c>
      <c r="J32" s="588"/>
      <c r="K32" s="598" t="s">
        <v>195</v>
      </c>
      <c r="L32" s="569"/>
      <c r="M32" s="569"/>
    </row>
    <row r="33" spans="1:13">
      <c r="A33" s="569"/>
      <c r="B33" s="468"/>
      <c r="C33" s="592"/>
      <c r="D33" s="968" t="s">
        <v>960</v>
      </c>
      <c r="E33" s="587">
        <f>+(E30+E31)*E32</f>
        <v>0</v>
      </c>
      <c r="F33" s="598" t="s">
        <v>27</v>
      </c>
      <c r="G33" s="573"/>
      <c r="H33" s="592"/>
      <c r="I33" s="968" t="s">
        <v>960</v>
      </c>
      <c r="J33" s="617">
        <f>+((J30+J31)*J32)*0+ROUND(((J28*2)+(J32*2))*J32*J26*1000,-0.02)</f>
        <v>0</v>
      </c>
      <c r="K33" s="598" t="s">
        <v>27</v>
      </c>
      <c r="L33" s="569"/>
      <c r="M33" s="569"/>
    </row>
    <row r="34" spans="1:13">
      <c r="A34" s="569"/>
      <c r="B34" s="468"/>
      <c r="C34" s="590"/>
      <c r="D34" s="573"/>
      <c r="E34" s="613"/>
      <c r="F34" s="598"/>
      <c r="G34" s="573"/>
      <c r="H34" s="590"/>
      <c r="I34" s="574"/>
      <c r="J34" s="613"/>
      <c r="K34" s="591"/>
      <c r="L34" s="569"/>
      <c r="M34" s="569"/>
    </row>
    <row r="35" spans="1:13">
      <c r="A35" s="569"/>
      <c r="B35" s="468"/>
      <c r="C35" s="590"/>
      <c r="D35" s="574" t="s">
        <v>496</v>
      </c>
      <c r="E35" s="969">
        <f>+E30+E31</f>
        <v>0</v>
      </c>
      <c r="F35" s="591" t="s">
        <v>26</v>
      </c>
      <c r="G35" s="573"/>
      <c r="H35" s="590"/>
      <c r="I35" s="574" t="s">
        <v>496</v>
      </c>
      <c r="J35" s="969">
        <f>+J30+J31</f>
        <v>0</v>
      </c>
      <c r="K35" s="591" t="s">
        <v>26</v>
      </c>
      <c r="L35" s="569"/>
      <c r="M35" s="569"/>
    </row>
    <row r="36" spans="1:13">
      <c r="A36" s="569"/>
      <c r="B36" s="468"/>
      <c r="C36" s="595"/>
      <c r="D36" s="596"/>
      <c r="E36" s="596"/>
      <c r="F36" s="597"/>
      <c r="G36" s="573"/>
      <c r="H36" s="595"/>
      <c r="I36" s="596"/>
      <c r="J36" s="596"/>
      <c r="K36" s="597"/>
      <c r="L36" s="569"/>
      <c r="M36" s="569"/>
    </row>
    <row r="37" spans="1:13">
      <c r="A37" s="569"/>
      <c r="B37" s="468"/>
      <c r="C37" s="468"/>
      <c r="D37" s="573"/>
      <c r="E37" s="573"/>
      <c r="F37" s="573"/>
      <c r="G37" s="573"/>
      <c r="H37" s="573"/>
      <c r="I37" s="573"/>
      <c r="J37" s="573"/>
      <c r="K37" s="573"/>
      <c r="L37" s="569"/>
      <c r="M37" s="569"/>
    </row>
    <row r="38" spans="1:13">
      <c r="A38" s="569"/>
      <c r="B38" s="468"/>
      <c r="C38" s="1902" t="s">
        <v>531</v>
      </c>
      <c r="D38" s="1903"/>
      <c r="E38" s="1903"/>
      <c r="F38" s="1904"/>
      <c r="G38" s="573"/>
      <c r="H38" s="1902" t="s">
        <v>532</v>
      </c>
      <c r="I38" s="1903"/>
      <c r="J38" s="1903"/>
      <c r="K38" s="1904"/>
      <c r="L38" s="569"/>
      <c r="M38" s="569"/>
    </row>
    <row r="39" spans="1:13">
      <c r="A39" s="569"/>
      <c r="B39" s="535"/>
      <c r="C39" s="590"/>
      <c r="D39" s="573" t="s">
        <v>474</v>
      </c>
      <c r="E39" s="589">
        <v>0</v>
      </c>
      <c r="F39" s="598" t="s">
        <v>37</v>
      </c>
      <c r="G39" s="573"/>
      <c r="H39" s="590"/>
      <c r="I39" s="573" t="s">
        <v>474</v>
      </c>
      <c r="J39" s="589">
        <v>0</v>
      </c>
      <c r="K39" s="598" t="s">
        <v>37</v>
      </c>
      <c r="L39" s="569"/>
      <c r="M39" s="569"/>
    </row>
    <row r="40" spans="1:13">
      <c r="A40" s="569"/>
      <c r="B40" s="468"/>
      <c r="C40" s="592"/>
      <c r="D40" s="573" t="s">
        <v>478</v>
      </c>
      <c r="E40" s="575">
        <v>0</v>
      </c>
      <c r="F40" s="598" t="s">
        <v>37</v>
      </c>
      <c r="G40" s="573"/>
      <c r="H40" s="592"/>
      <c r="I40" s="573" t="s">
        <v>478</v>
      </c>
      <c r="J40" s="575">
        <v>0</v>
      </c>
      <c r="K40" s="598" t="s">
        <v>37</v>
      </c>
      <c r="L40" s="569"/>
      <c r="M40" s="569"/>
    </row>
    <row r="41" spans="1:13">
      <c r="A41" s="569"/>
      <c r="B41" s="468"/>
      <c r="C41" s="590"/>
      <c r="D41" s="573" t="s">
        <v>485</v>
      </c>
      <c r="E41" s="578">
        <f>+(E40-E39)/1000</f>
        <v>0</v>
      </c>
      <c r="F41" s="598" t="s">
        <v>37</v>
      </c>
      <c r="G41" s="573"/>
      <c r="H41" s="590"/>
      <c r="I41" s="573" t="s">
        <v>486</v>
      </c>
      <c r="J41" s="578">
        <f>+(J40-J39)/1000</f>
        <v>0</v>
      </c>
      <c r="K41" s="598" t="s">
        <v>37</v>
      </c>
      <c r="L41" s="569"/>
      <c r="M41" s="569"/>
    </row>
    <row r="42" spans="1:13">
      <c r="A42" s="569"/>
      <c r="B42" s="468"/>
      <c r="C42" s="593"/>
      <c r="D42" s="573" t="s">
        <v>479</v>
      </c>
      <c r="E42" s="576">
        <v>0</v>
      </c>
      <c r="F42" s="598" t="s">
        <v>195</v>
      </c>
      <c r="G42" s="573"/>
      <c r="H42" s="593"/>
      <c r="I42" s="573" t="s">
        <v>479</v>
      </c>
      <c r="J42" s="576">
        <v>0</v>
      </c>
      <c r="K42" s="598" t="s">
        <v>195</v>
      </c>
      <c r="L42" s="569"/>
      <c r="M42" s="569"/>
    </row>
    <row r="43" spans="1:13">
      <c r="A43" s="569"/>
      <c r="B43" s="535"/>
      <c r="C43" s="594"/>
      <c r="D43" s="573" t="s">
        <v>475</v>
      </c>
      <c r="E43" s="576">
        <v>0</v>
      </c>
      <c r="F43" s="598" t="s">
        <v>195</v>
      </c>
      <c r="G43" s="573"/>
      <c r="H43" s="594"/>
      <c r="I43" s="573" t="s">
        <v>475</v>
      </c>
      <c r="J43" s="576">
        <v>0</v>
      </c>
      <c r="K43" s="598" t="s">
        <v>195</v>
      </c>
      <c r="L43" s="569"/>
      <c r="M43" s="569"/>
    </row>
    <row r="44" spans="1:13">
      <c r="A44" s="569"/>
      <c r="B44" s="468"/>
      <c r="C44" s="592"/>
      <c r="D44" s="573"/>
      <c r="E44" s="613"/>
      <c r="F44" s="598"/>
      <c r="G44" s="573"/>
      <c r="H44" s="592"/>
      <c r="I44" s="573"/>
      <c r="J44" s="613"/>
      <c r="K44" s="598"/>
      <c r="L44" s="569"/>
      <c r="M44" s="569"/>
    </row>
    <row r="45" spans="1:13">
      <c r="A45" s="569"/>
      <c r="B45" s="468"/>
      <c r="C45" s="590"/>
      <c r="D45" s="573" t="s">
        <v>476</v>
      </c>
      <c r="E45" s="587">
        <f>(E41*1000)*E42</f>
        <v>0</v>
      </c>
      <c r="F45" s="598" t="s">
        <v>26</v>
      </c>
      <c r="G45" s="573"/>
      <c r="H45" s="590"/>
      <c r="I45" s="573" t="s">
        <v>476</v>
      </c>
      <c r="J45" s="587">
        <f>(J41*1000)*J42</f>
        <v>0</v>
      </c>
      <c r="K45" s="598" t="s">
        <v>26</v>
      </c>
      <c r="L45" s="569"/>
      <c r="M45" s="569"/>
    </row>
    <row r="46" spans="1:13">
      <c r="A46" s="569"/>
      <c r="B46" s="468"/>
      <c r="C46" s="590"/>
      <c r="D46" s="573" t="s">
        <v>477</v>
      </c>
      <c r="E46" s="587">
        <f>(E41*1000)*E43*2</f>
        <v>0</v>
      </c>
      <c r="F46" s="598" t="s">
        <v>26</v>
      </c>
      <c r="G46" s="573"/>
      <c r="H46" s="590"/>
      <c r="I46" s="573" t="s">
        <v>477</v>
      </c>
      <c r="J46" s="587">
        <f>(J41*1000)*J43*2</f>
        <v>0</v>
      </c>
      <c r="K46" s="598" t="s">
        <v>26</v>
      </c>
      <c r="L46" s="569"/>
      <c r="M46" s="569"/>
    </row>
    <row r="47" spans="1:13">
      <c r="A47" s="569"/>
      <c r="B47" s="468"/>
      <c r="C47" s="590"/>
      <c r="D47" s="573" t="s">
        <v>460</v>
      </c>
      <c r="E47" s="588">
        <v>0</v>
      </c>
      <c r="F47" s="598" t="s">
        <v>195</v>
      </c>
      <c r="G47" s="573"/>
      <c r="H47" s="590"/>
      <c r="I47" s="573" t="s">
        <v>460</v>
      </c>
      <c r="J47" s="588">
        <v>0</v>
      </c>
      <c r="K47" s="598" t="s">
        <v>195</v>
      </c>
      <c r="L47" s="569"/>
      <c r="M47" s="569"/>
    </row>
    <row r="48" spans="1:13">
      <c r="A48" s="569"/>
      <c r="B48" s="468"/>
      <c r="C48" s="592"/>
      <c r="D48" s="573" t="s">
        <v>461</v>
      </c>
      <c r="E48" s="577">
        <f>+(E45+E46)*E47</f>
        <v>0</v>
      </c>
      <c r="F48" s="598" t="s">
        <v>27</v>
      </c>
      <c r="G48" s="573"/>
      <c r="H48" s="592"/>
      <c r="I48" s="573" t="s">
        <v>461</v>
      </c>
      <c r="J48" s="577">
        <f>+(J45+J46)*J47</f>
        <v>0</v>
      </c>
      <c r="K48" s="598" t="s">
        <v>27</v>
      </c>
      <c r="L48" s="569"/>
      <c r="M48" s="569"/>
    </row>
    <row r="49" spans="1:13">
      <c r="A49" s="569"/>
      <c r="B49" s="468"/>
      <c r="C49" s="590"/>
      <c r="D49" s="573"/>
      <c r="E49" s="613"/>
      <c r="F49" s="598"/>
      <c r="G49" s="573"/>
      <c r="H49" s="590"/>
      <c r="I49" s="574"/>
      <c r="J49" s="613"/>
      <c r="K49" s="591"/>
      <c r="L49" s="569"/>
      <c r="M49" s="569"/>
    </row>
    <row r="50" spans="1:13">
      <c r="A50" s="569"/>
      <c r="B50" s="468"/>
      <c r="C50" s="590"/>
      <c r="D50" s="574" t="s">
        <v>542</v>
      </c>
      <c r="E50" s="614">
        <f>+E45+E46</f>
        <v>0</v>
      </c>
      <c r="F50" s="591" t="s">
        <v>26</v>
      </c>
      <c r="G50" s="573"/>
      <c r="H50" s="590"/>
      <c r="I50" s="574" t="s">
        <v>543</v>
      </c>
      <c r="J50" s="614">
        <f>+J45+J46</f>
        <v>0</v>
      </c>
      <c r="K50" s="591" t="s">
        <v>26</v>
      </c>
      <c r="L50" s="569"/>
      <c r="M50" s="569"/>
    </row>
    <row r="51" spans="1:13">
      <c r="A51" s="569"/>
      <c r="B51" s="468"/>
      <c r="C51" s="595"/>
      <c r="D51" s="596"/>
      <c r="E51" s="596"/>
      <c r="F51" s="597"/>
      <c r="G51" s="573"/>
      <c r="H51" s="595"/>
      <c r="I51" s="596"/>
      <c r="J51" s="596"/>
      <c r="K51" s="597"/>
      <c r="L51" s="569"/>
      <c r="M51" s="569"/>
    </row>
    <row r="52" spans="1:13">
      <c r="A52" s="569"/>
      <c r="B52" s="468"/>
      <c r="C52" s="468"/>
      <c r="D52" s="572"/>
      <c r="E52" s="572"/>
      <c r="F52" s="572"/>
      <c r="G52" s="572"/>
      <c r="H52" s="572"/>
      <c r="I52" s="569"/>
      <c r="J52" s="569"/>
      <c r="K52" s="569"/>
      <c r="L52" s="569"/>
      <c r="M52" s="569"/>
    </row>
    <row r="53" spans="1:13">
      <c r="A53" s="569"/>
      <c r="B53" s="569" t="s">
        <v>970</v>
      </c>
      <c r="D53" s="572"/>
      <c r="E53" s="572"/>
      <c r="F53" s="572"/>
      <c r="G53" s="572"/>
      <c r="H53" s="572"/>
      <c r="I53" s="601">
        <f>+E11+J11*0+E26+J26*0+E41+J41</f>
        <v>3.9</v>
      </c>
      <c r="J53" s="569" t="s">
        <v>37</v>
      </c>
      <c r="K53" s="569"/>
      <c r="L53" s="569"/>
      <c r="M53" s="569"/>
    </row>
    <row r="54" spans="1:13">
      <c r="A54" s="569"/>
      <c r="B54" s="569" t="str">
        <f>CONCATENATE("สรุป  พื้นที่งานซ่อมสร้างฯ (โดยวิธี Pavement In - Place Recycling)   ",Q12,"   ตร.ม.")</f>
        <v>สรุป  พื้นที่งานซ่อมสร้างฯ (โดยวิธี Pavement In - Place Recycling)   31200   ตร.ม.</v>
      </c>
      <c r="D54" s="572"/>
      <c r="E54" s="572"/>
      <c r="F54" s="572"/>
      <c r="G54" s="572"/>
      <c r="H54" s="572"/>
      <c r="I54" s="1021"/>
      <c r="J54" s="582"/>
      <c r="K54" s="569"/>
      <c r="L54" s="569"/>
      <c r="M54" s="569"/>
    </row>
    <row r="55" spans="1:13">
      <c r="A55" s="569"/>
      <c r="B55" s="468"/>
      <c r="C55" s="583" t="s">
        <v>483</v>
      </c>
      <c r="E55" s="584">
        <f>Q9</f>
        <v>23400</v>
      </c>
      <c r="F55" s="643" t="s">
        <v>26</v>
      </c>
      <c r="G55" s="585"/>
      <c r="H55" s="585"/>
      <c r="I55" s="586" t="s">
        <v>484</v>
      </c>
      <c r="J55" s="584">
        <f>+Q10</f>
        <v>7800</v>
      </c>
      <c r="K55" s="643" t="s">
        <v>26</v>
      </c>
      <c r="L55" s="569"/>
      <c r="M55" s="569"/>
    </row>
    <row r="56" spans="1:13">
      <c r="A56" s="569"/>
      <c r="B56" s="468"/>
      <c r="C56" s="600" t="s">
        <v>488</v>
      </c>
      <c r="D56" s="569"/>
      <c r="E56" s="602">
        <f>ROUND(I53*1000*0.36,-0.02)</f>
        <v>1404</v>
      </c>
      <c r="F56" s="579" t="s">
        <v>26</v>
      </c>
      <c r="G56" s="569" t="s">
        <v>495</v>
      </c>
      <c r="H56" s="569"/>
      <c r="I56" s="569"/>
      <c r="J56" s="569"/>
      <c r="K56" s="569"/>
      <c r="L56" s="569"/>
      <c r="M56" s="569"/>
    </row>
    <row r="57" spans="1:13">
      <c r="A57" s="569"/>
      <c r="B57" s="468"/>
      <c r="C57" s="468"/>
      <c r="D57" s="572"/>
      <c r="E57" s="572"/>
      <c r="F57" s="572"/>
      <c r="G57" s="572"/>
      <c r="H57" s="572"/>
      <c r="I57" s="569"/>
      <c r="J57" s="569"/>
      <c r="K57" s="569"/>
      <c r="L57" s="569"/>
      <c r="M57" s="569"/>
    </row>
    <row r="58" spans="1:13">
      <c r="D58"/>
      <c r="E58"/>
      <c r="F58"/>
      <c r="G58"/>
      <c r="H58"/>
    </row>
    <row r="59" spans="1:13">
      <c r="D59"/>
      <c r="E59"/>
      <c r="F59"/>
      <c r="G59"/>
      <c r="H59"/>
    </row>
    <row r="60" spans="1:13">
      <c r="D60"/>
      <c r="E60"/>
      <c r="F60"/>
      <c r="G60"/>
      <c r="H60"/>
    </row>
    <row r="61" spans="1:13">
      <c r="D61"/>
      <c r="E61"/>
      <c r="F61"/>
      <c r="G61"/>
      <c r="H61"/>
    </row>
    <row r="62" spans="1:13">
      <c r="D62"/>
      <c r="E62"/>
      <c r="F62"/>
      <c r="G62"/>
      <c r="H62"/>
    </row>
    <row r="63" spans="1:13">
      <c r="D63"/>
      <c r="E63"/>
      <c r="F63"/>
      <c r="G63"/>
      <c r="H63"/>
    </row>
    <row r="64" spans="1:13">
      <c r="D64"/>
      <c r="E64"/>
      <c r="F64"/>
      <c r="G64"/>
      <c r="H64"/>
    </row>
    <row r="65" spans="2:8">
      <c r="B65" s="468"/>
      <c r="C65" s="468"/>
      <c r="D65"/>
      <c r="E65"/>
      <c r="F65"/>
      <c r="G65"/>
      <c r="H65"/>
    </row>
    <row r="66" spans="2:8">
      <c r="D66"/>
      <c r="E66"/>
      <c r="F66"/>
      <c r="G66"/>
      <c r="H66"/>
    </row>
    <row r="67" spans="2:8">
      <c r="D67"/>
      <c r="E67"/>
      <c r="F67"/>
      <c r="G67"/>
      <c r="H67"/>
    </row>
    <row r="68" spans="2:8">
      <c r="D68"/>
      <c r="E68"/>
      <c r="F68"/>
      <c r="G68"/>
      <c r="H68"/>
    </row>
    <row r="69" spans="2:8">
      <c r="D69"/>
      <c r="E69"/>
      <c r="F69"/>
      <c r="G69"/>
      <c r="H69"/>
    </row>
    <row r="70" spans="2:8">
      <c r="D70"/>
      <c r="E70"/>
      <c r="F70"/>
      <c r="G70"/>
      <c r="H70"/>
    </row>
    <row r="71" spans="2:8">
      <c r="D71"/>
      <c r="E71"/>
      <c r="F71"/>
      <c r="G71"/>
      <c r="H71"/>
    </row>
    <row r="72" spans="2:8">
      <c r="D72"/>
      <c r="E72"/>
      <c r="F72"/>
      <c r="G72"/>
      <c r="H72"/>
    </row>
    <row r="73" spans="2:8">
      <c r="D73"/>
      <c r="E73"/>
      <c r="F73"/>
      <c r="G73"/>
      <c r="H73"/>
    </row>
    <row r="74" spans="2:8">
      <c r="D74"/>
      <c r="E74"/>
      <c r="F74"/>
      <c r="G74"/>
      <c r="H74"/>
    </row>
    <row r="75" spans="2:8">
      <c r="D75"/>
      <c r="E75"/>
      <c r="F75"/>
      <c r="G75"/>
      <c r="H75"/>
    </row>
    <row r="76" spans="2:8">
      <c r="D76"/>
      <c r="E76"/>
      <c r="F76"/>
      <c r="G76"/>
      <c r="H76"/>
    </row>
    <row r="77" spans="2:8">
      <c r="D77"/>
      <c r="E77"/>
      <c r="F77"/>
      <c r="G77"/>
      <c r="H77"/>
    </row>
    <row r="78" spans="2:8">
      <c r="D78"/>
      <c r="E78"/>
      <c r="F78"/>
      <c r="G78"/>
      <c r="H78"/>
    </row>
    <row r="79" spans="2:8">
      <c r="D79"/>
      <c r="E79"/>
      <c r="F79"/>
      <c r="G79"/>
      <c r="H79"/>
    </row>
    <row r="80" spans="2:8">
      <c r="D80"/>
      <c r="E80"/>
      <c r="F80"/>
      <c r="G80"/>
      <c r="H80"/>
    </row>
    <row r="81" spans="4:8">
      <c r="D81"/>
      <c r="E81"/>
      <c r="F81"/>
      <c r="G81"/>
      <c r="H81"/>
    </row>
    <row r="82" spans="4:8">
      <c r="D82"/>
      <c r="E82"/>
      <c r="F82"/>
      <c r="G82"/>
      <c r="H82"/>
    </row>
    <row r="83" spans="4:8">
      <c r="D83"/>
      <c r="E83"/>
      <c r="F83"/>
      <c r="G83"/>
      <c r="H83"/>
    </row>
    <row r="126" spans="2:3">
      <c r="B126" s="560"/>
      <c r="C126" s="560"/>
    </row>
  </sheetData>
  <mergeCells count="11">
    <mergeCell ref="C38:F38"/>
    <mergeCell ref="H38:K38"/>
    <mergeCell ref="C23:F23"/>
    <mergeCell ref="H23:K23"/>
    <mergeCell ref="A4:M4"/>
    <mergeCell ref="A5:M5"/>
    <mergeCell ref="A2:M2"/>
    <mergeCell ref="A3:M3"/>
    <mergeCell ref="A6:M6"/>
    <mergeCell ref="C8:F8"/>
    <mergeCell ref="H8:K8"/>
  </mergeCells>
  <printOptions horizontalCentered="1"/>
  <pageMargins left="0.19685039370078741" right="0.19685039370078741" top="0.39370078740157483" bottom="0.19685039370078741" header="0" footer="0"/>
  <pageSetup paperSize="9" scale="68" orientation="portrait" r:id="rId1"/>
  <rowBreaks count="1" manualBreakCount="1">
    <brk id="37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Z107"/>
  <sheetViews>
    <sheetView workbookViewId="0"/>
  </sheetViews>
  <sheetFormatPr defaultColWidth="9.140625" defaultRowHeight="19.5"/>
  <cols>
    <col min="1" max="1" width="4.28515625" style="462" customWidth="1"/>
    <col min="2" max="2" width="2.140625" style="462" customWidth="1"/>
    <col min="3" max="3" width="20.85546875" style="462" customWidth="1"/>
    <col min="4" max="4" width="8.7109375" style="462" customWidth="1"/>
    <col min="5" max="5" width="6.42578125" style="462" customWidth="1"/>
    <col min="6" max="6" width="2.7109375" style="462" customWidth="1"/>
    <col min="7" max="7" width="21.5703125" style="462" customWidth="1"/>
    <col min="8" max="8" width="8.7109375" style="462" customWidth="1"/>
    <col min="9" max="9" width="5.5703125" style="462" customWidth="1"/>
    <col min="10" max="10" width="3" style="462" customWidth="1"/>
    <col min="11" max="11" width="20.85546875" style="462" customWidth="1"/>
    <col min="12" max="12" width="8.7109375" style="462" customWidth="1"/>
    <col min="13" max="13" width="5.7109375" style="462" customWidth="1"/>
    <col min="14" max="14" width="2.5703125" style="462" customWidth="1"/>
    <col min="15" max="15" width="17.42578125" style="462" customWidth="1"/>
    <col min="16" max="16" width="8.7109375" style="462" customWidth="1"/>
    <col min="17" max="17" width="6.5703125" style="462" customWidth="1"/>
    <col min="18" max="18" width="1.7109375" style="462" customWidth="1"/>
    <col min="19" max="19" width="7.85546875" style="462" customWidth="1"/>
    <col min="20" max="20" width="8.28515625" style="462" customWidth="1"/>
    <col min="21" max="21" width="6.140625" style="462" customWidth="1"/>
    <col min="22" max="22" width="24.140625" style="462" customWidth="1"/>
    <col min="23" max="23" width="9.140625" style="462"/>
    <col min="24" max="24" width="6.42578125" style="462" customWidth="1"/>
    <col min="25" max="16384" width="9.140625" style="463"/>
  </cols>
  <sheetData>
    <row r="4" spans="1:26" ht="20.25" thickBot="1"/>
    <row r="5" spans="1:26" ht="21.75">
      <c r="B5" s="1905" t="s">
        <v>427</v>
      </c>
      <c r="C5" s="1906"/>
      <c r="D5" s="1906"/>
      <c r="E5" s="464"/>
      <c r="F5" s="465"/>
      <c r="G5" s="1905" t="s">
        <v>428</v>
      </c>
      <c r="H5" s="1906"/>
      <c r="I5" s="1907"/>
      <c r="J5" s="466"/>
      <c r="K5" s="1905" t="s">
        <v>429</v>
      </c>
      <c r="L5" s="1906"/>
      <c r="M5" s="1907"/>
      <c r="N5" s="466"/>
      <c r="O5" s="1908" t="s">
        <v>430</v>
      </c>
      <c r="P5" s="1909"/>
      <c r="Q5" s="1910"/>
      <c r="R5" s="467"/>
      <c r="S5" s="468"/>
      <c r="V5" s="469" t="s">
        <v>431</v>
      </c>
      <c r="W5" s="470"/>
      <c r="X5" s="471"/>
    </row>
    <row r="6" spans="1:26" ht="21.75">
      <c r="B6" s="472"/>
      <c r="C6" s="1911" t="s">
        <v>432</v>
      </c>
      <c r="D6" s="1911"/>
      <c r="E6" s="473"/>
      <c r="F6" s="474"/>
      <c r="G6" s="1912" t="s">
        <v>432</v>
      </c>
      <c r="H6" s="1911"/>
      <c r="I6" s="473"/>
      <c r="J6" s="475"/>
      <c r="K6" s="1912" t="s">
        <v>432</v>
      </c>
      <c r="L6" s="1911"/>
      <c r="M6" s="473"/>
      <c r="N6" s="475"/>
      <c r="O6" s="1913" t="s">
        <v>433</v>
      </c>
      <c r="P6" s="1914"/>
      <c r="Q6" s="476"/>
      <c r="R6" s="468"/>
      <c r="S6" s="468"/>
      <c r="V6" s="477"/>
      <c r="W6" s="478" t="s">
        <v>434</v>
      </c>
      <c r="X6" s="479"/>
    </row>
    <row r="7" spans="1:26">
      <c r="B7" s="480"/>
      <c r="C7" s="468" t="s">
        <v>435</v>
      </c>
      <c r="D7" s="481">
        <v>3000</v>
      </c>
      <c r="E7" s="479"/>
      <c r="G7" s="480" t="s">
        <v>435</v>
      </c>
      <c r="H7" s="481">
        <v>0</v>
      </c>
      <c r="I7" s="479"/>
      <c r="J7" s="468"/>
      <c r="K7" s="480" t="s">
        <v>435</v>
      </c>
      <c r="L7" s="481">
        <v>0</v>
      </c>
      <c r="M7" s="479"/>
      <c r="N7" s="468"/>
      <c r="O7" s="482" t="s">
        <v>435</v>
      </c>
      <c r="P7" s="483">
        <v>0</v>
      </c>
      <c r="Q7" s="484"/>
      <c r="R7" s="468"/>
      <c r="S7" s="468"/>
      <c r="V7" s="480" t="s">
        <v>435</v>
      </c>
      <c r="W7" s="485">
        <v>0</v>
      </c>
      <c r="X7" s="479"/>
    </row>
    <row r="8" spans="1:26">
      <c r="B8" s="480"/>
      <c r="C8" s="468" t="s">
        <v>436</v>
      </c>
      <c r="D8" s="481">
        <v>5500</v>
      </c>
      <c r="E8" s="479"/>
      <c r="G8" s="480" t="s">
        <v>436</v>
      </c>
      <c r="H8" s="481">
        <v>0</v>
      </c>
      <c r="I8" s="479"/>
      <c r="J8" s="468"/>
      <c r="K8" s="480" t="s">
        <v>436</v>
      </c>
      <c r="L8" s="481">
        <v>0</v>
      </c>
      <c r="M8" s="479"/>
      <c r="N8" s="468"/>
      <c r="O8" s="482" t="s">
        <v>436</v>
      </c>
      <c r="P8" s="483">
        <v>0</v>
      </c>
      <c r="Q8" s="484"/>
      <c r="R8" s="468"/>
      <c r="S8" s="468"/>
      <c r="V8" s="480" t="s">
        <v>436</v>
      </c>
      <c r="W8" s="485">
        <v>0</v>
      </c>
      <c r="X8" s="479"/>
    </row>
    <row r="9" spans="1:26">
      <c r="A9" s="486"/>
      <c r="B9" s="487"/>
      <c r="C9" s="468" t="s">
        <v>437</v>
      </c>
      <c r="D9" s="488">
        <v>6</v>
      </c>
      <c r="E9" s="561" t="s">
        <v>195</v>
      </c>
      <c r="G9" s="480" t="s">
        <v>438</v>
      </c>
      <c r="H9" s="488">
        <v>0</v>
      </c>
      <c r="I9" s="561" t="s">
        <v>195</v>
      </c>
      <c r="J9" s="468"/>
      <c r="K9" s="480" t="s">
        <v>439</v>
      </c>
      <c r="L9" s="488">
        <v>0</v>
      </c>
      <c r="M9" s="561" t="s">
        <v>195</v>
      </c>
      <c r="N9" s="468"/>
      <c r="O9" s="482" t="s">
        <v>440</v>
      </c>
      <c r="P9" s="489">
        <v>0</v>
      </c>
      <c r="Q9" s="484" t="s">
        <v>195</v>
      </c>
      <c r="R9" s="468"/>
      <c r="S9" s="468"/>
      <c r="T9" s="486"/>
      <c r="U9" s="486"/>
      <c r="V9" s="480" t="s">
        <v>439</v>
      </c>
      <c r="W9" s="490">
        <v>0</v>
      </c>
      <c r="X9" s="479" t="s">
        <v>195</v>
      </c>
    </row>
    <row r="10" spans="1:26">
      <c r="B10" s="480"/>
      <c r="C10" s="468" t="s">
        <v>441</v>
      </c>
      <c r="D10" s="488">
        <v>1</v>
      </c>
      <c r="E10" s="561" t="s">
        <v>195</v>
      </c>
      <c r="G10" s="480" t="s">
        <v>442</v>
      </c>
      <c r="H10" s="488">
        <v>0</v>
      </c>
      <c r="I10" s="561" t="s">
        <v>195</v>
      </c>
      <c r="J10" s="468"/>
      <c r="K10" s="480" t="s">
        <v>443</v>
      </c>
      <c r="L10" s="488">
        <v>0</v>
      </c>
      <c r="M10" s="561" t="s">
        <v>195</v>
      </c>
      <c r="N10" s="468"/>
      <c r="O10" s="482" t="s">
        <v>444</v>
      </c>
      <c r="P10" s="489">
        <v>0</v>
      </c>
      <c r="Q10" s="484" t="s">
        <v>195</v>
      </c>
      <c r="R10" s="468"/>
      <c r="S10" s="468"/>
      <c r="V10" s="480" t="s">
        <v>443</v>
      </c>
      <c r="W10" s="490">
        <v>0</v>
      </c>
      <c r="X10" s="479" t="s">
        <v>195</v>
      </c>
    </row>
    <row r="11" spans="1:26">
      <c r="A11" s="491"/>
      <c r="B11" s="492"/>
      <c r="C11" s="468" t="s">
        <v>445</v>
      </c>
      <c r="D11" s="493">
        <f>($D$8-$D$7)</f>
        <v>2500</v>
      </c>
      <c r="E11" s="562" t="s">
        <v>195</v>
      </c>
      <c r="F11" s="495"/>
      <c r="G11" s="496" t="s">
        <v>446</v>
      </c>
      <c r="H11" s="493">
        <f>($H$8-$H$7)</f>
        <v>0</v>
      </c>
      <c r="I11" s="562" t="s">
        <v>195</v>
      </c>
      <c r="J11" s="497"/>
      <c r="K11" s="496" t="s">
        <v>447</v>
      </c>
      <c r="L11" s="493">
        <f>($L$8-$L$7)</f>
        <v>0</v>
      </c>
      <c r="M11" s="562" t="s">
        <v>195</v>
      </c>
      <c r="N11" s="497"/>
      <c r="O11" s="498" t="s">
        <v>448</v>
      </c>
      <c r="P11" s="499">
        <f>($P$8-$P$7)</f>
        <v>0</v>
      </c>
      <c r="Q11" s="484" t="s">
        <v>449</v>
      </c>
      <c r="R11" s="468"/>
      <c r="S11" s="500" t="s">
        <v>450</v>
      </c>
      <c r="T11" s="501">
        <f>D11+H11+L11+P11</f>
        <v>2500</v>
      </c>
      <c r="U11" s="462" t="s">
        <v>195</v>
      </c>
      <c r="V11" s="496" t="s">
        <v>447</v>
      </c>
      <c r="W11" s="493">
        <f>($W$8-$W$7)</f>
        <v>0</v>
      </c>
      <c r="X11" s="494" t="s">
        <v>195</v>
      </c>
    </row>
    <row r="12" spans="1:26">
      <c r="A12" s="502"/>
      <c r="B12" s="503"/>
      <c r="C12" s="468"/>
      <c r="D12" s="497"/>
      <c r="E12" s="562"/>
      <c r="F12" s="495"/>
      <c r="G12" s="496"/>
      <c r="H12" s="497"/>
      <c r="I12" s="562"/>
      <c r="J12" s="497"/>
      <c r="K12" s="496"/>
      <c r="L12" s="497"/>
      <c r="M12" s="562"/>
      <c r="N12" s="497"/>
      <c r="O12" s="498"/>
      <c r="P12" s="504"/>
      <c r="Q12" s="484"/>
      <c r="R12" s="468"/>
      <c r="S12" s="468"/>
      <c r="T12" s="486"/>
      <c r="U12" s="486"/>
      <c r="V12" s="496"/>
      <c r="W12" s="497"/>
      <c r="X12" s="494"/>
    </row>
    <row r="13" spans="1:26" ht="20.25" thickBot="1">
      <c r="A13" s="486"/>
      <c r="B13" s="487"/>
      <c r="C13" s="468" t="s">
        <v>451</v>
      </c>
      <c r="D13" s="493">
        <f>D9*D11</f>
        <v>15000</v>
      </c>
      <c r="E13" s="562" t="s">
        <v>26</v>
      </c>
      <c r="F13" s="495"/>
      <c r="G13" s="480" t="s">
        <v>452</v>
      </c>
      <c r="H13" s="493">
        <f>H11*H9</f>
        <v>0</v>
      </c>
      <c r="I13" s="562" t="s">
        <v>26</v>
      </c>
      <c r="J13" s="497"/>
      <c r="K13" s="480" t="s">
        <v>453</v>
      </c>
      <c r="L13" s="493">
        <f>L11*L9</f>
        <v>0</v>
      </c>
      <c r="M13" s="562" t="s">
        <v>26</v>
      </c>
      <c r="N13" s="497"/>
      <c r="O13" s="482" t="s">
        <v>454</v>
      </c>
      <c r="P13" s="499">
        <f>P11*P9</f>
        <v>0</v>
      </c>
      <c r="Q13" s="484" t="s">
        <v>26</v>
      </c>
      <c r="R13" s="468"/>
      <c r="S13" s="468" t="s">
        <v>455</v>
      </c>
      <c r="T13" s="486"/>
      <c r="U13" s="486"/>
      <c r="V13" s="480" t="s">
        <v>453</v>
      </c>
      <c r="W13" s="493">
        <f>W11*W9</f>
        <v>0</v>
      </c>
      <c r="X13" s="494" t="s">
        <v>26</v>
      </c>
      <c r="Y13" s="468" t="s">
        <v>455</v>
      </c>
      <c r="Z13" s="486"/>
    </row>
    <row r="14" spans="1:26" ht="20.25" thickBot="1">
      <c r="B14" s="480"/>
      <c r="C14" s="565" t="s">
        <v>456</v>
      </c>
      <c r="D14" s="493">
        <f>D11*D10*2</f>
        <v>5000</v>
      </c>
      <c r="E14" s="562" t="s">
        <v>26</v>
      </c>
      <c r="F14" s="495"/>
      <c r="G14" s="566" t="s">
        <v>457</v>
      </c>
      <c r="H14" s="493">
        <f>H11*H10*2</f>
        <v>0</v>
      </c>
      <c r="I14" s="562" t="s">
        <v>26</v>
      </c>
      <c r="J14" s="497"/>
      <c r="K14" s="566" t="s">
        <v>458</v>
      </c>
      <c r="L14" s="493">
        <f>L11*L10*2</f>
        <v>0</v>
      </c>
      <c r="M14" s="562" t="s">
        <v>26</v>
      </c>
      <c r="N14" s="497"/>
      <c r="O14" s="567" t="s">
        <v>459</v>
      </c>
      <c r="P14" s="499">
        <f>P11*P10*2</f>
        <v>0</v>
      </c>
      <c r="Q14" s="484" t="s">
        <v>26</v>
      </c>
      <c r="R14" s="468"/>
      <c r="S14" s="468"/>
      <c r="T14" s="505">
        <f>(T11*0.24)+Z14</f>
        <v>600</v>
      </c>
      <c r="V14" s="496" t="s">
        <v>458</v>
      </c>
      <c r="W14" s="493">
        <f>W10*2*25</f>
        <v>0</v>
      </c>
      <c r="X14" s="494" t="s">
        <v>26</v>
      </c>
      <c r="Y14" s="468"/>
      <c r="Z14" s="505">
        <f>W11*0.24</f>
        <v>0</v>
      </c>
    </row>
    <row r="15" spans="1:26">
      <c r="A15" s="468"/>
      <c r="B15" s="480"/>
      <c r="C15" s="468" t="s">
        <v>460</v>
      </c>
      <c r="D15" s="506">
        <v>0.05</v>
      </c>
      <c r="E15" s="562" t="s">
        <v>195</v>
      </c>
      <c r="F15" s="495"/>
      <c r="G15" s="480" t="s">
        <v>460</v>
      </c>
      <c r="H15" s="506">
        <v>0</v>
      </c>
      <c r="I15" s="562" t="s">
        <v>195</v>
      </c>
      <c r="J15" s="497"/>
      <c r="K15" s="480" t="s">
        <v>460</v>
      </c>
      <c r="L15" s="507">
        <v>0</v>
      </c>
      <c r="M15" s="562" t="s">
        <v>195</v>
      </c>
      <c r="N15" s="497"/>
      <c r="O15" s="508"/>
      <c r="P15" s="509"/>
      <c r="Q15" s="510"/>
      <c r="R15" s="511"/>
      <c r="S15" s="497"/>
      <c r="V15" s="480" t="s">
        <v>460</v>
      </c>
      <c r="W15" s="512">
        <v>0.05</v>
      </c>
      <c r="X15" s="494" t="s">
        <v>195</v>
      </c>
    </row>
    <row r="16" spans="1:26">
      <c r="A16" s="468"/>
      <c r="B16" s="480"/>
      <c r="C16" s="468" t="s">
        <v>461</v>
      </c>
      <c r="D16" s="493">
        <f>INT((((D9+D10*2)+(D15*2))*(D11)*((D15))))</f>
        <v>1012</v>
      </c>
      <c r="E16" s="561" t="s">
        <v>27</v>
      </c>
      <c r="G16" s="480" t="s">
        <v>461</v>
      </c>
      <c r="H16" s="493">
        <f>INT(((H9+H10*2)+(H15*2))*(H11)*((H15)))</f>
        <v>0</v>
      </c>
      <c r="I16" s="561" t="s">
        <v>27</v>
      </c>
      <c r="J16" s="468"/>
      <c r="K16" s="480" t="s">
        <v>461</v>
      </c>
      <c r="L16" s="493">
        <f>INT(((L9+L10*2)+(L15*2))*(L11)*((L15)))</f>
        <v>0</v>
      </c>
      <c r="M16" s="561" t="s">
        <v>27</v>
      </c>
      <c r="N16" s="468"/>
      <c r="O16" s="508"/>
      <c r="P16" s="513"/>
      <c r="Q16" s="514"/>
      <c r="R16" s="515"/>
      <c r="S16" s="500" t="s">
        <v>23</v>
      </c>
      <c r="T16" s="516">
        <f>D16+H16+L16</f>
        <v>1012</v>
      </c>
      <c r="U16" s="462" t="s">
        <v>27</v>
      </c>
      <c r="V16" s="480" t="s">
        <v>461</v>
      </c>
      <c r="W16" s="517">
        <f>INT(((W9+W10*2)+(W15*2))*(W11)*((W15)))</f>
        <v>0</v>
      </c>
      <c r="X16" s="479" t="s">
        <v>27</v>
      </c>
    </row>
    <row r="17" spans="1:24">
      <c r="A17" s="518"/>
      <c r="B17" s="487"/>
      <c r="C17" s="518"/>
      <c r="D17" s="518"/>
      <c r="E17" s="563"/>
      <c r="F17" s="486"/>
      <c r="G17" s="487"/>
      <c r="H17" s="518"/>
      <c r="I17" s="563"/>
      <c r="J17" s="518"/>
      <c r="K17" s="487"/>
      <c r="L17" s="518"/>
      <c r="M17" s="563"/>
      <c r="N17" s="518"/>
      <c r="O17" s="520"/>
      <c r="P17" s="521"/>
      <c r="Q17" s="522"/>
      <c r="R17" s="518"/>
      <c r="S17" s="518"/>
      <c r="T17" s="486"/>
      <c r="U17" s="486"/>
      <c r="V17" s="487"/>
      <c r="W17" s="518"/>
      <c r="X17" s="519"/>
    </row>
    <row r="18" spans="1:24">
      <c r="A18" s="468"/>
      <c r="B18" s="480"/>
      <c r="C18" s="468" t="s">
        <v>462</v>
      </c>
      <c r="D18" s="493">
        <f>D13+D14</f>
        <v>20000</v>
      </c>
      <c r="E18" s="562" t="s">
        <v>26</v>
      </c>
      <c r="F18" s="495"/>
      <c r="G18" s="496" t="s">
        <v>463</v>
      </c>
      <c r="H18" s="493">
        <f>H13+H14</f>
        <v>0</v>
      </c>
      <c r="I18" s="562" t="s">
        <v>26</v>
      </c>
      <c r="J18" s="497"/>
      <c r="K18" s="496" t="s">
        <v>464</v>
      </c>
      <c r="L18" s="493">
        <f>L13+L14</f>
        <v>0</v>
      </c>
      <c r="M18" s="562" t="s">
        <v>26</v>
      </c>
      <c r="N18" s="497"/>
      <c r="O18" s="498" t="s">
        <v>465</v>
      </c>
      <c r="P18" s="499">
        <f>P13+P14</f>
        <v>0</v>
      </c>
      <c r="Q18" s="484" t="s">
        <v>26</v>
      </c>
      <c r="R18" s="468"/>
      <c r="S18" s="468"/>
      <c r="V18" s="496" t="s">
        <v>464</v>
      </c>
      <c r="W18" s="493">
        <f>W13+W14</f>
        <v>0</v>
      </c>
      <c r="X18" s="494" t="s">
        <v>26</v>
      </c>
    </row>
    <row r="19" spans="1:24" ht="20.25" thickBot="1">
      <c r="A19" s="468"/>
      <c r="B19" s="523"/>
      <c r="C19" s="524"/>
      <c r="D19" s="525"/>
      <c r="E19" s="526"/>
      <c r="F19" s="495"/>
      <c r="G19" s="527"/>
      <c r="H19" s="525"/>
      <c r="I19" s="564"/>
      <c r="J19" s="497"/>
      <c r="K19" s="527"/>
      <c r="L19" s="525"/>
      <c r="M19" s="564"/>
      <c r="N19" s="497"/>
      <c r="O19" s="528"/>
      <c r="P19" s="529"/>
      <c r="Q19" s="530"/>
      <c r="R19" s="468"/>
      <c r="S19" s="468"/>
      <c r="V19" s="527"/>
      <c r="W19" s="525"/>
      <c r="X19" s="526"/>
    </row>
    <row r="20" spans="1:24" ht="20.25" thickBot="1">
      <c r="C20" s="486"/>
      <c r="D20" s="531"/>
      <c r="E20" s="531"/>
      <c r="F20" s="531"/>
      <c r="G20" s="531"/>
      <c r="H20" s="531"/>
      <c r="I20" s="531"/>
      <c r="J20" s="531"/>
      <c r="K20" s="531"/>
      <c r="L20" s="531"/>
      <c r="M20" s="531"/>
      <c r="N20" s="531"/>
      <c r="O20" s="531"/>
      <c r="P20" s="531"/>
      <c r="Q20" s="486"/>
      <c r="R20" s="486"/>
      <c r="S20" s="486"/>
      <c r="V20" s="531"/>
      <c r="W20" s="531"/>
      <c r="X20" s="486"/>
    </row>
    <row r="21" spans="1:24">
      <c r="B21" s="469"/>
      <c r="C21" s="532"/>
      <c r="D21" s="533"/>
      <c r="E21" s="533"/>
      <c r="F21" s="533"/>
      <c r="G21" s="533"/>
      <c r="H21" s="533"/>
      <c r="I21" s="533"/>
      <c r="J21" s="533"/>
      <c r="K21" s="533"/>
      <c r="L21" s="533"/>
      <c r="M21" s="533"/>
      <c r="N21" s="533"/>
      <c r="O21" s="533"/>
      <c r="P21" s="533"/>
      <c r="Q21" s="534"/>
      <c r="R21" s="518"/>
      <c r="S21" s="486"/>
      <c r="V21" s="531"/>
      <c r="W21" s="531"/>
      <c r="X21" s="486"/>
    </row>
    <row r="22" spans="1:24" ht="21.75">
      <c r="A22" s="535"/>
      <c r="B22" s="536"/>
      <c r="C22" s="466" t="s">
        <v>470</v>
      </c>
      <c r="D22" s="537"/>
      <c r="E22" s="537"/>
      <c r="F22" s="538"/>
      <c r="G22" s="538" t="s">
        <v>466</v>
      </c>
      <c r="H22" s="539">
        <f>D13+H13++L13+W13</f>
        <v>15000</v>
      </c>
      <c r="I22" s="538" t="s">
        <v>26</v>
      </c>
      <c r="J22" s="538"/>
      <c r="K22" s="537" t="s">
        <v>467</v>
      </c>
      <c r="L22" s="539">
        <f>D14+H14+L14+W14</f>
        <v>5000</v>
      </c>
      <c r="M22" s="538" t="s">
        <v>26</v>
      </c>
      <c r="N22" s="538"/>
      <c r="O22" s="537" t="s">
        <v>468</v>
      </c>
      <c r="P22" s="540">
        <f>H22+L22</f>
        <v>20000</v>
      </c>
      <c r="Q22" s="541" t="s">
        <v>26</v>
      </c>
      <c r="R22" s="538"/>
      <c r="S22" s="542">
        <f>D18+H18+L18</f>
        <v>20000</v>
      </c>
      <c r="V22" s="497"/>
      <c r="W22" s="497"/>
      <c r="X22" s="468"/>
    </row>
    <row r="23" spans="1:24" ht="22.5" thickBot="1">
      <c r="B23" s="523"/>
      <c r="C23" s="543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5"/>
      <c r="Q23" s="546"/>
      <c r="R23" s="537"/>
      <c r="V23" s="495"/>
      <c r="W23" s="495"/>
    </row>
    <row r="24" spans="1:24" ht="22.5" thickBot="1">
      <c r="C24" s="547"/>
      <c r="D24" s="547"/>
      <c r="E24" s="547"/>
      <c r="F24" s="548"/>
      <c r="G24" s="548"/>
      <c r="H24" s="548"/>
      <c r="I24" s="548"/>
      <c r="J24" s="548"/>
      <c r="K24" s="548"/>
      <c r="L24" s="548"/>
      <c r="M24" s="548"/>
      <c r="N24" s="548"/>
      <c r="O24" s="548"/>
      <c r="P24" s="549"/>
      <c r="Q24" s="547"/>
      <c r="R24" s="547"/>
      <c r="V24" s="495"/>
      <c r="W24" s="495"/>
    </row>
    <row r="25" spans="1:24" ht="21.75">
      <c r="B25" s="469"/>
      <c r="C25" s="550"/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2"/>
      <c r="Q25" s="553"/>
      <c r="R25" s="554"/>
      <c r="S25" s="486"/>
      <c r="V25" s="531"/>
      <c r="W25" s="531"/>
      <c r="X25" s="486"/>
    </row>
    <row r="26" spans="1:24" ht="21.75">
      <c r="A26" s="535"/>
      <c r="B26" s="536"/>
      <c r="C26" s="466" t="s">
        <v>471</v>
      </c>
      <c r="D26" s="537"/>
      <c r="E26" s="537"/>
      <c r="F26" s="538"/>
      <c r="G26" s="538" t="s">
        <v>466</v>
      </c>
      <c r="H26" s="539">
        <v>180</v>
      </c>
      <c r="I26" s="538" t="s">
        <v>26</v>
      </c>
      <c r="J26" s="538"/>
      <c r="K26" s="537" t="s">
        <v>467</v>
      </c>
      <c r="L26" s="539">
        <v>30</v>
      </c>
      <c r="M26" s="538" t="s">
        <v>26</v>
      </c>
      <c r="N26" s="538"/>
      <c r="O26" s="537" t="s">
        <v>469</v>
      </c>
      <c r="P26" s="540">
        <f>H26+L26</f>
        <v>210</v>
      </c>
      <c r="Q26" s="541" t="s">
        <v>26</v>
      </c>
      <c r="R26" s="538"/>
      <c r="S26" s="542">
        <f>P13+P14</f>
        <v>0</v>
      </c>
      <c r="V26" s="497"/>
      <c r="W26" s="497"/>
      <c r="X26" s="468"/>
    </row>
    <row r="27" spans="1:24" ht="20.25" thickBot="1">
      <c r="B27" s="523"/>
      <c r="C27" s="524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55"/>
      <c r="R27" s="468"/>
      <c r="V27" s="495"/>
      <c r="W27" s="495"/>
    </row>
    <row r="28" spans="1:24" ht="20.25" thickBot="1"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V28" s="495"/>
      <c r="W28" s="495"/>
    </row>
    <row r="29" spans="1:24" ht="21.75">
      <c r="B29" s="469"/>
      <c r="C29" s="550"/>
      <c r="D29" s="551"/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551"/>
      <c r="P29" s="552"/>
      <c r="Q29" s="553"/>
    </row>
    <row r="30" spans="1:24" ht="21.75">
      <c r="B30" s="536"/>
      <c r="C30" s="466" t="s">
        <v>472</v>
      </c>
      <c r="D30" s="537"/>
      <c r="E30" s="537"/>
      <c r="F30" s="538"/>
      <c r="G30" s="538" t="s">
        <v>466</v>
      </c>
      <c r="H30" s="556">
        <v>100</v>
      </c>
      <c r="I30" s="538" t="s">
        <v>26</v>
      </c>
      <c r="J30" s="538"/>
      <c r="K30" s="537"/>
      <c r="L30" s="557"/>
      <c r="M30" s="538"/>
      <c r="N30" s="538"/>
      <c r="O30" s="537"/>
      <c r="P30" s="558"/>
      <c r="Q30" s="541"/>
    </row>
    <row r="31" spans="1:24" ht="20.25" thickBot="1">
      <c r="B31" s="523"/>
      <c r="C31" s="524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55"/>
    </row>
    <row r="46" spans="1:4" s="462" customFormat="1">
      <c r="A46" s="468"/>
      <c r="B46" s="468"/>
      <c r="C46" s="468"/>
      <c r="D46" s="468"/>
    </row>
    <row r="56" spans="3:3" s="462" customFormat="1">
      <c r="C56" s="491"/>
    </row>
    <row r="57" spans="3:3" s="462" customFormat="1">
      <c r="C57" s="491"/>
    </row>
    <row r="58" spans="3:3" s="462" customFormat="1">
      <c r="C58" s="491"/>
    </row>
    <row r="59" spans="3:3" s="462" customFormat="1">
      <c r="C59" s="491"/>
    </row>
    <row r="60" spans="3:3" s="462" customFormat="1">
      <c r="C60" s="491"/>
    </row>
    <row r="61" spans="3:3" s="462" customFormat="1">
      <c r="C61" s="491"/>
    </row>
    <row r="62" spans="3:3" s="462" customFormat="1">
      <c r="C62" s="491"/>
    </row>
    <row r="63" spans="3:3" s="462" customFormat="1">
      <c r="C63" s="491"/>
    </row>
    <row r="64" spans="3:3" s="462" customFormat="1">
      <c r="C64" s="491"/>
    </row>
    <row r="65" spans="3:3" s="462" customFormat="1">
      <c r="C65" s="491"/>
    </row>
    <row r="66" spans="3:3" s="462" customFormat="1">
      <c r="C66" s="491"/>
    </row>
    <row r="67" spans="3:3" s="462" customFormat="1">
      <c r="C67" s="491"/>
    </row>
    <row r="68" spans="3:3" s="462" customFormat="1">
      <c r="C68" s="491"/>
    </row>
    <row r="69" spans="3:3" s="462" customFormat="1">
      <c r="C69" s="491"/>
    </row>
    <row r="70" spans="3:3" s="462" customFormat="1">
      <c r="C70" s="491"/>
    </row>
    <row r="71" spans="3:3" s="462" customFormat="1">
      <c r="C71" s="491"/>
    </row>
    <row r="72" spans="3:3" s="462" customFormat="1">
      <c r="C72" s="491"/>
    </row>
    <row r="73" spans="3:3" s="462" customFormat="1">
      <c r="C73" s="491"/>
    </row>
    <row r="74" spans="3:3" s="462" customFormat="1">
      <c r="C74" s="491"/>
    </row>
    <row r="75" spans="3:3" s="462" customFormat="1">
      <c r="C75" s="491"/>
    </row>
    <row r="76" spans="3:3" s="462" customFormat="1">
      <c r="C76" s="491"/>
    </row>
    <row r="77" spans="3:3" s="462" customFormat="1">
      <c r="C77" s="491"/>
    </row>
    <row r="78" spans="3:3" s="462" customFormat="1">
      <c r="C78" s="491"/>
    </row>
    <row r="79" spans="3:3" s="462" customFormat="1">
      <c r="C79" s="491"/>
    </row>
    <row r="80" spans="3:3" s="462" customFormat="1">
      <c r="C80" s="491"/>
    </row>
    <row r="81" spans="3:3" s="462" customFormat="1">
      <c r="C81" s="491"/>
    </row>
    <row r="82" spans="3:3" s="462" customFormat="1">
      <c r="C82" s="491"/>
    </row>
    <row r="83" spans="3:3" s="462" customFormat="1">
      <c r="C83" s="491"/>
    </row>
    <row r="84" spans="3:3" s="462" customFormat="1">
      <c r="C84" s="491"/>
    </row>
    <row r="85" spans="3:3" s="462" customFormat="1">
      <c r="C85" s="491"/>
    </row>
    <row r="86" spans="3:3" s="462" customFormat="1">
      <c r="C86" s="491"/>
    </row>
    <row r="87" spans="3:3" s="462" customFormat="1">
      <c r="C87" s="559"/>
    </row>
    <row r="107" spans="1:2" s="462" customFormat="1">
      <c r="A107" s="560"/>
      <c r="B107" s="560"/>
    </row>
  </sheetData>
  <mergeCells count="8">
    <mergeCell ref="B5:D5"/>
    <mergeCell ref="G5:I5"/>
    <mergeCell ref="K5:M5"/>
    <mergeCell ref="O5:Q5"/>
    <mergeCell ref="C6:D6"/>
    <mergeCell ref="G6:H6"/>
    <mergeCell ref="K6:L6"/>
    <mergeCell ref="O6:P6"/>
  </mergeCells>
  <pageMargins left="0.7" right="0.7" top="0.75" bottom="0.75" header="0.3" footer="0.3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C40"/>
  <sheetViews>
    <sheetView showGridLines="0" view="pageBreakPreview" zoomScale="70" zoomScaleSheetLayoutView="70" workbookViewId="0">
      <selection activeCell="F10" sqref="F10"/>
    </sheetView>
  </sheetViews>
  <sheetFormatPr defaultRowHeight="21.75"/>
  <cols>
    <col min="2" max="2" width="11.28515625" customWidth="1"/>
    <col min="3" max="3" width="13.28515625" customWidth="1"/>
    <col min="4" max="5" width="11.42578125" customWidth="1"/>
    <col min="7" max="7" width="12.28515625" customWidth="1"/>
    <col min="8" max="8" width="12" customWidth="1"/>
    <col min="9" max="9" width="10.85546875" customWidth="1"/>
    <col min="10" max="10" width="4.85546875" customWidth="1"/>
    <col min="12" max="13" width="11" customWidth="1"/>
    <col min="14" max="14" width="13.42578125" customWidth="1"/>
    <col min="15" max="15" width="12.7109375" customWidth="1"/>
    <col min="16" max="16" width="12.85546875" customWidth="1"/>
    <col min="17" max="17" width="9.85546875" customWidth="1"/>
    <col min="18" max="18" width="10.42578125" customWidth="1"/>
    <col min="19" max="19" width="11.28515625" customWidth="1"/>
    <col min="20" max="20" width="4.140625" customWidth="1"/>
    <col min="21" max="21" width="9.85546875" customWidth="1"/>
    <col min="22" max="22" width="10.42578125" customWidth="1"/>
    <col min="23" max="23" width="12.140625" customWidth="1"/>
    <col min="24" max="24" width="11.140625" customWidth="1"/>
    <col min="25" max="25" width="11.5703125" customWidth="1"/>
    <col min="26" max="26" width="11.7109375" customWidth="1"/>
    <col min="27" max="27" width="10" customWidth="1"/>
    <col min="28" max="28" width="9.85546875" customWidth="1"/>
    <col min="29" max="29" width="12.140625" customWidth="1"/>
  </cols>
  <sheetData>
    <row r="1" spans="1:29" ht="23.25">
      <c r="B1" s="1038" t="s">
        <v>1325</v>
      </c>
      <c r="C1" s="1038"/>
      <c r="D1" s="1230"/>
      <c r="K1" s="1038" t="s">
        <v>1326</v>
      </c>
      <c r="L1" s="1038"/>
      <c r="M1" s="1038"/>
      <c r="U1" s="1038"/>
      <c r="V1" s="1038"/>
      <c r="W1" s="1038"/>
    </row>
    <row r="2" spans="1:29" ht="23.25">
      <c r="B2" s="1038" t="s">
        <v>1183</v>
      </c>
      <c r="D2" s="1231">
        <f>E13+O13</f>
        <v>0.26800000000000002</v>
      </c>
      <c r="E2" s="1038" t="s">
        <v>37</v>
      </c>
    </row>
    <row r="3" spans="1:29" ht="23.25">
      <c r="B3" s="1038" t="s">
        <v>983</v>
      </c>
      <c r="G3" s="1023" t="s">
        <v>979</v>
      </c>
      <c r="H3" s="1026">
        <v>0</v>
      </c>
      <c r="I3" s="1023" t="s">
        <v>984</v>
      </c>
      <c r="L3" s="1038" t="s">
        <v>994</v>
      </c>
      <c r="V3" s="1038" t="s">
        <v>1417</v>
      </c>
    </row>
    <row r="4" spans="1:29">
      <c r="A4" s="1027" t="s">
        <v>973</v>
      </c>
      <c r="B4" s="1027" t="s">
        <v>978</v>
      </c>
      <c r="C4" s="1027" t="s">
        <v>974</v>
      </c>
      <c r="D4" s="1027" t="s">
        <v>975</v>
      </c>
      <c r="E4" s="1027" t="s">
        <v>324</v>
      </c>
      <c r="F4" s="1027" t="s">
        <v>976</v>
      </c>
      <c r="G4" s="1027" t="s">
        <v>977</v>
      </c>
      <c r="H4" s="1027" t="s">
        <v>23</v>
      </c>
      <c r="I4" s="1027" t="s">
        <v>727</v>
      </c>
      <c r="K4" s="1027" t="s">
        <v>973</v>
      </c>
      <c r="L4" s="1027" t="s">
        <v>978</v>
      </c>
      <c r="M4" s="1027" t="s">
        <v>974</v>
      </c>
      <c r="N4" s="1027" t="s">
        <v>975</v>
      </c>
      <c r="O4" s="1027" t="s">
        <v>324</v>
      </c>
      <c r="P4" s="1027" t="s">
        <v>976</v>
      </c>
      <c r="Q4" s="1027" t="s">
        <v>977</v>
      </c>
      <c r="R4" s="1027" t="s">
        <v>23</v>
      </c>
      <c r="S4" s="1027" t="s">
        <v>727</v>
      </c>
      <c r="U4" s="1027" t="s">
        <v>973</v>
      </c>
      <c r="V4" s="1027" t="s">
        <v>978</v>
      </c>
      <c r="W4" s="1027" t="s">
        <v>974</v>
      </c>
      <c r="X4" s="1027" t="s">
        <v>975</v>
      </c>
      <c r="Y4" s="1027" t="s">
        <v>324</v>
      </c>
      <c r="Z4" s="1027" t="s">
        <v>976</v>
      </c>
      <c r="AA4" s="1027" t="s">
        <v>977</v>
      </c>
      <c r="AB4" s="1027" t="s">
        <v>23</v>
      </c>
      <c r="AC4" s="1027" t="s">
        <v>727</v>
      </c>
    </row>
    <row r="5" spans="1:29">
      <c r="A5" s="1030">
        <v>1</v>
      </c>
      <c r="B5" s="1232" t="s">
        <v>980</v>
      </c>
      <c r="C5" s="1233">
        <v>0</v>
      </c>
      <c r="D5" s="1233">
        <v>0</v>
      </c>
      <c r="E5" s="1033">
        <f>(D5-C5)/1000</f>
        <v>0</v>
      </c>
      <c r="F5" s="1234">
        <v>0</v>
      </c>
      <c r="G5" s="1234">
        <v>0</v>
      </c>
      <c r="H5" s="1031">
        <f>F5+G5*2</f>
        <v>0</v>
      </c>
      <c r="I5" s="1032">
        <f>E5*1000*H5</f>
        <v>0</v>
      </c>
      <c r="K5" s="1030">
        <f>A5</f>
        <v>1</v>
      </c>
      <c r="L5" s="1041" t="s">
        <v>1278</v>
      </c>
      <c r="M5" s="1042">
        <v>0</v>
      </c>
      <c r="N5" s="1042">
        <v>268</v>
      </c>
      <c r="O5" s="1046">
        <f t="shared" ref="O5" si="0">(N5-M5)/1000</f>
        <v>0.26800000000000002</v>
      </c>
      <c r="P5" s="1045">
        <v>5</v>
      </c>
      <c r="Q5" s="1043">
        <v>0</v>
      </c>
      <c r="R5" s="1047">
        <f>P5+Q5</f>
        <v>5</v>
      </c>
      <c r="S5" s="1048">
        <f t="shared" ref="S5:S6" si="1">O5*1000*R5</f>
        <v>1340</v>
      </c>
      <c r="U5" s="1030">
        <f>K5</f>
        <v>1</v>
      </c>
      <c r="V5" s="1041" t="s">
        <v>1421</v>
      </c>
      <c r="W5" s="1042">
        <v>10</v>
      </c>
      <c r="X5" s="1042">
        <v>30</v>
      </c>
      <c r="Y5" s="1046">
        <f t="shared" ref="Y5:Y12" si="2">(X5-W5)/1000</f>
        <v>0.02</v>
      </c>
      <c r="Z5" s="1043">
        <v>5</v>
      </c>
      <c r="AA5" s="1043">
        <v>0</v>
      </c>
      <c r="AB5" s="1047">
        <f>Z5+(AA5/2)</f>
        <v>5</v>
      </c>
      <c r="AC5" s="1048">
        <f>Y5*1000*AB5</f>
        <v>100</v>
      </c>
    </row>
    <row r="6" spans="1:29">
      <c r="A6" s="1030">
        <v>2</v>
      </c>
      <c r="B6" s="1232"/>
      <c r="C6" s="1233"/>
      <c r="D6" s="1233"/>
      <c r="E6" s="1046"/>
      <c r="F6" s="1234"/>
      <c r="G6" s="1234"/>
      <c r="H6" s="1047"/>
      <c r="I6" s="1048"/>
      <c r="K6" s="1030">
        <f>A6</f>
        <v>2</v>
      </c>
      <c r="L6" s="1041"/>
      <c r="M6" s="1042"/>
      <c r="N6" s="1042"/>
      <c r="O6" s="1046"/>
      <c r="P6" s="1045"/>
      <c r="Q6" s="1043"/>
      <c r="R6" s="1047">
        <f>P6+Q6</f>
        <v>0</v>
      </c>
      <c r="S6" s="1048">
        <f t="shared" si="1"/>
        <v>0</v>
      </c>
      <c r="U6" s="1030">
        <f>K6</f>
        <v>2</v>
      </c>
      <c r="V6" s="1041"/>
      <c r="W6" s="1042">
        <v>125</v>
      </c>
      <c r="X6" s="1042">
        <v>135</v>
      </c>
      <c r="Y6" s="1046">
        <f t="shared" si="2"/>
        <v>0.01</v>
      </c>
      <c r="Z6" s="1045">
        <v>5</v>
      </c>
      <c r="AA6" s="1043">
        <v>0</v>
      </c>
      <c r="AB6" s="1047">
        <f>Z6+(AA6/2)</f>
        <v>5</v>
      </c>
      <c r="AC6" s="1048">
        <f>Y6*1000*AB6</f>
        <v>50</v>
      </c>
    </row>
    <row r="7" spans="1:29">
      <c r="A7" s="1030">
        <v>3</v>
      </c>
      <c r="B7" s="1232"/>
      <c r="C7" s="1233"/>
      <c r="D7" s="1233"/>
      <c r="E7" s="1046"/>
      <c r="F7" s="1234"/>
      <c r="G7" s="1234"/>
      <c r="H7" s="1047"/>
      <c r="I7" s="1048"/>
      <c r="K7" s="1030">
        <f t="shared" ref="K7:K12" si="3">A7</f>
        <v>3</v>
      </c>
      <c r="L7" s="1041"/>
      <c r="M7" s="1042"/>
      <c r="N7" s="1042"/>
      <c r="O7" s="1046"/>
      <c r="P7" s="1045"/>
      <c r="Q7" s="1043"/>
      <c r="R7" s="1047"/>
      <c r="S7" s="1048"/>
      <c r="U7" s="1030">
        <f t="shared" ref="U7:U12" si="4">K7</f>
        <v>3</v>
      </c>
      <c r="V7" s="1041"/>
      <c r="W7" s="1042"/>
      <c r="X7" s="1042"/>
      <c r="Y7" s="1047">
        <f t="shared" si="2"/>
        <v>0</v>
      </c>
      <c r="Z7" s="1045"/>
      <c r="AA7" s="1045"/>
      <c r="AB7" s="1047">
        <f t="shared" ref="AB7:AB13" si="5">Z7+AA7*2</f>
        <v>0</v>
      </c>
      <c r="AC7" s="1048">
        <f t="shared" ref="AC7:AC12" si="6">Y7*1000*AB7</f>
        <v>0</v>
      </c>
    </row>
    <row r="8" spans="1:29">
      <c r="A8" s="1030">
        <v>4</v>
      </c>
      <c r="B8" s="1232"/>
      <c r="C8" s="1233"/>
      <c r="D8" s="1233"/>
      <c r="E8" s="1047"/>
      <c r="F8" s="1044"/>
      <c r="G8" s="1044"/>
      <c r="H8" s="1047"/>
      <c r="I8" s="1048"/>
      <c r="K8" s="1030">
        <f t="shared" si="3"/>
        <v>4</v>
      </c>
      <c r="L8" s="1041"/>
      <c r="M8" s="1042"/>
      <c r="N8" s="1042"/>
      <c r="O8" s="1047"/>
      <c r="P8" s="1045"/>
      <c r="Q8" s="1045"/>
      <c r="R8" s="1047"/>
      <c r="S8" s="1048"/>
      <c r="U8" s="1030">
        <f t="shared" si="4"/>
        <v>4</v>
      </c>
      <c r="V8" s="1041"/>
      <c r="W8" s="1042"/>
      <c r="X8" s="1042"/>
      <c r="Y8" s="1047">
        <f t="shared" si="2"/>
        <v>0</v>
      </c>
      <c r="Z8" s="1045"/>
      <c r="AA8" s="1045"/>
      <c r="AB8" s="1047">
        <f t="shared" si="5"/>
        <v>0</v>
      </c>
      <c r="AC8" s="1048">
        <f t="shared" si="6"/>
        <v>0</v>
      </c>
    </row>
    <row r="9" spans="1:29">
      <c r="A9" s="1030">
        <v>5</v>
      </c>
      <c r="B9" s="1041"/>
      <c r="C9" s="1042"/>
      <c r="D9" s="1042"/>
      <c r="E9" s="1047"/>
      <c r="F9" s="1045"/>
      <c r="G9" s="1045"/>
      <c r="H9" s="1047"/>
      <c r="I9" s="1048"/>
      <c r="K9" s="1030">
        <f t="shared" si="3"/>
        <v>5</v>
      </c>
      <c r="L9" s="1041"/>
      <c r="M9" s="1042"/>
      <c r="N9" s="1042"/>
      <c r="O9" s="1047"/>
      <c r="P9" s="1045"/>
      <c r="Q9" s="1045"/>
      <c r="R9" s="1047"/>
      <c r="S9" s="1048"/>
      <c r="U9" s="1030">
        <f t="shared" si="4"/>
        <v>5</v>
      </c>
      <c r="V9" s="1041"/>
      <c r="W9" s="1042"/>
      <c r="X9" s="1042"/>
      <c r="Y9" s="1047">
        <f t="shared" si="2"/>
        <v>0</v>
      </c>
      <c r="Z9" s="1045"/>
      <c r="AA9" s="1045"/>
      <c r="AB9" s="1047">
        <f t="shared" si="5"/>
        <v>0</v>
      </c>
      <c r="AC9" s="1048">
        <f t="shared" si="6"/>
        <v>0</v>
      </c>
    </row>
    <row r="10" spans="1:29">
      <c r="A10" s="1030">
        <v>6</v>
      </c>
      <c r="B10" s="1041"/>
      <c r="C10" s="1042"/>
      <c r="D10" s="1042"/>
      <c r="E10" s="1047"/>
      <c r="F10" s="1045"/>
      <c r="G10" s="1045"/>
      <c r="H10" s="1047"/>
      <c r="I10" s="1048"/>
      <c r="K10" s="1030">
        <f t="shared" si="3"/>
        <v>6</v>
      </c>
      <c r="L10" s="1041"/>
      <c r="M10" s="1042"/>
      <c r="N10" s="1042"/>
      <c r="O10" s="1047"/>
      <c r="P10" s="1045"/>
      <c r="Q10" s="1045"/>
      <c r="R10" s="1047"/>
      <c r="S10" s="1048"/>
      <c r="U10" s="1030">
        <f t="shared" si="4"/>
        <v>6</v>
      </c>
      <c r="V10" s="1041"/>
      <c r="W10" s="1042"/>
      <c r="X10" s="1042"/>
      <c r="Y10" s="1047">
        <f t="shared" si="2"/>
        <v>0</v>
      </c>
      <c r="Z10" s="1045"/>
      <c r="AA10" s="1045"/>
      <c r="AB10" s="1047">
        <f t="shared" si="5"/>
        <v>0</v>
      </c>
      <c r="AC10" s="1048">
        <f t="shared" si="6"/>
        <v>0</v>
      </c>
    </row>
    <row r="11" spans="1:29">
      <c r="A11" s="1030">
        <v>7</v>
      </c>
      <c r="B11" s="1041"/>
      <c r="C11" s="1042"/>
      <c r="D11" s="1042"/>
      <c r="E11" s="1046"/>
      <c r="F11" s="1044"/>
      <c r="G11" s="1044"/>
      <c r="H11" s="1047"/>
      <c r="I11" s="1048"/>
      <c r="K11" s="1030">
        <f t="shared" si="3"/>
        <v>7</v>
      </c>
      <c r="L11" s="1041"/>
      <c r="M11" s="1042"/>
      <c r="N11" s="1042"/>
      <c r="O11" s="1047"/>
      <c r="P11" s="1045"/>
      <c r="Q11" s="1045"/>
      <c r="R11" s="1047"/>
      <c r="S11" s="1048"/>
      <c r="U11" s="1030">
        <f t="shared" si="4"/>
        <v>7</v>
      </c>
      <c r="V11" s="1041"/>
      <c r="W11" s="1042"/>
      <c r="X11" s="1042"/>
      <c r="Y11" s="1047">
        <f t="shared" si="2"/>
        <v>0</v>
      </c>
      <c r="Z11" s="1045"/>
      <c r="AA11" s="1045"/>
      <c r="AB11" s="1047">
        <f t="shared" si="5"/>
        <v>0</v>
      </c>
      <c r="AC11" s="1048">
        <f t="shared" si="6"/>
        <v>0</v>
      </c>
    </row>
    <row r="12" spans="1:29">
      <c r="A12" s="1030">
        <v>8</v>
      </c>
      <c r="B12" s="1041"/>
      <c r="C12" s="1042"/>
      <c r="D12" s="1042"/>
      <c r="E12" s="1046"/>
      <c r="F12" s="1044"/>
      <c r="G12" s="1044"/>
      <c r="H12" s="1047"/>
      <c r="I12" s="1048"/>
      <c r="K12" s="1030">
        <f t="shared" si="3"/>
        <v>8</v>
      </c>
      <c r="L12" s="1041"/>
      <c r="M12" s="1042"/>
      <c r="N12" s="1042"/>
      <c r="O12" s="1046"/>
      <c r="P12" s="1044"/>
      <c r="Q12" s="1044"/>
      <c r="R12" s="1047"/>
      <c r="S12" s="1048"/>
      <c r="U12" s="1030">
        <f t="shared" si="4"/>
        <v>8</v>
      </c>
      <c r="V12" s="1041"/>
      <c r="W12" s="1042"/>
      <c r="X12" s="1042"/>
      <c r="Y12" s="1046">
        <f t="shared" si="2"/>
        <v>0</v>
      </c>
      <c r="Z12" s="1044"/>
      <c r="AA12" s="1044"/>
      <c r="AB12" s="1047">
        <f t="shared" si="5"/>
        <v>0</v>
      </c>
      <c r="AC12" s="1048">
        <f t="shared" si="6"/>
        <v>0</v>
      </c>
    </row>
    <row r="13" spans="1:29">
      <c r="A13" s="1030"/>
      <c r="B13" s="1041"/>
      <c r="C13" s="1042"/>
      <c r="D13" s="1042"/>
      <c r="E13" s="1046">
        <f>E5+E6+E7</f>
        <v>0</v>
      </c>
      <c r="F13" s="1045"/>
      <c r="G13" s="1045"/>
      <c r="H13" s="1049"/>
      <c r="I13" s="1050">
        <f>I5+I6+I7</f>
        <v>0</v>
      </c>
      <c r="K13" s="1030"/>
      <c r="L13" s="1041"/>
      <c r="M13" s="1042"/>
      <c r="N13" s="1042"/>
      <c r="O13" s="1046">
        <f>SUM(O5:O12)</f>
        <v>0.26800000000000002</v>
      </c>
      <c r="P13" s="1045"/>
      <c r="Q13" s="1045"/>
      <c r="R13" s="1047">
        <f t="shared" ref="R13" si="7">P13+Q13*2</f>
        <v>0</v>
      </c>
      <c r="S13" s="1050">
        <f>SUM(S5:S12)</f>
        <v>1340</v>
      </c>
      <c r="U13" s="1030"/>
      <c r="V13" s="1041"/>
      <c r="W13" s="1042"/>
      <c r="X13" s="1042"/>
      <c r="Y13" s="1046">
        <f>SUM(Y5:Y12)</f>
        <v>0.03</v>
      </c>
      <c r="Z13" s="1045"/>
      <c r="AA13" s="1045"/>
      <c r="AB13" s="1047">
        <f t="shared" si="5"/>
        <v>0</v>
      </c>
      <c r="AC13" s="1050">
        <f>SUM(AC5:AC12)</f>
        <v>150</v>
      </c>
    </row>
    <row r="14" spans="1:29">
      <c r="A14" s="1051"/>
      <c r="B14" s="1052"/>
      <c r="C14" s="1053"/>
      <c r="D14" s="1053"/>
      <c r="E14" s="1054"/>
      <c r="F14" s="1054"/>
      <c r="G14" s="1054"/>
      <c r="H14" s="1055"/>
      <c r="I14" s="1056"/>
    </row>
    <row r="15" spans="1:29" ht="23.25">
      <c r="A15" s="1029"/>
      <c r="B15" s="1038" t="s">
        <v>983</v>
      </c>
      <c r="C15" s="1024"/>
      <c r="D15" s="1024"/>
      <c r="E15" s="1025"/>
      <c r="L15" s="1038" t="s">
        <v>994</v>
      </c>
      <c r="V15" s="1038" t="str">
        <f>V3</f>
        <v>งาน Skin Patch</v>
      </c>
    </row>
    <row r="16" spans="1:29">
      <c r="A16" s="1028" t="s">
        <v>973</v>
      </c>
      <c r="B16" s="1028" t="s">
        <v>978</v>
      </c>
      <c r="C16" s="1028" t="s">
        <v>979</v>
      </c>
      <c r="D16" s="1028" t="s">
        <v>980</v>
      </c>
      <c r="E16" s="1028" t="s">
        <v>981</v>
      </c>
      <c r="F16" s="1028" t="s">
        <v>982</v>
      </c>
      <c r="G16" s="1028" t="s">
        <v>995</v>
      </c>
      <c r="H16" s="1028" t="s">
        <v>996</v>
      </c>
      <c r="K16" s="1028" t="s">
        <v>973</v>
      </c>
      <c r="L16" s="1028" t="s">
        <v>978</v>
      </c>
      <c r="M16" s="1028" t="s">
        <v>997</v>
      </c>
      <c r="N16" s="1028" t="s">
        <v>998</v>
      </c>
      <c r="O16" s="1028" t="s">
        <v>999</v>
      </c>
      <c r="P16" s="1028" t="s">
        <v>1000</v>
      </c>
      <c r="U16" s="1028" t="s">
        <v>973</v>
      </c>
      <c r="V16" s="1028" t="s">
        <v>978</v>
      </c>
      <c r="W16" s="1028" t="s">
        <v>997</v>
      </c>
      <c r="X16" s="1028" t="s">
        <v>998</v>
      </c>
      <c r="Y16" s="1028" t="s">
        <v>999</v>
      </c>
      <c r="Z16" s="1028" t="s">
        <v>1000</v>
      </c>
    </row>
    <row r="17" spans="1:26">
      <c r="A17" s="1030">
        <f>A5</f>
        <v>1</v>
      </c>
      <c r="B17" s="1030" t="str">
        <f>B5</f>
        <v>Recycling</v>
      </c>
      <c r="C17" s="1031">
        <f>0.15*I5</f>
        <v>0</v>
      </c>
      <c r="D17" s="1034">
        <f>I5</f>
        <v>0</v>
      </c>
      <c r="E17" s="1031">
        <f>E5*F5*1000</f>
        <v>0</v>
      </c>
      <c r="F17" s="1035">
        <f>E5*G5*2*1000</f>
        <v>0</v>
      </c>
      <c r="G17" s="1375">
        <f>E17</f>
        <v>0</v>
      </c>
      <c r="H17" s="1035">
        <f>F17</f>
        <v>0</v>
      </c>
      <c r="K17" s="1030">
        <f>K5</f>
        <v>1</v>
      </c>
      <c r="L17" s="1057" t="str">
        <f>L5</f>
        <v>Overlay</v>
      </c>
      <c r="M17" s="1047">
        <f t="shared" ref="M17:M24" si="8">O5*P5*1000</f>
        <v>1340</v>
      </c>
      <c r="N17" s="1048">
        <f t="shared" ref="N17:N24" si="9">O5*Q5*2*1000</f>
        <v>0</v>
      </c>
      <c r="O17" s="1048">
        <f>M17</f>
        <v>1340</v>
      </c>
      <c r="P17" s="1048">
        <f>N17</f>
        <v>0</v>
      </c>
      <c r="U17" s="1030">
        <f t="shared" ref="U17:V24" si="10">U5</f>
        <v>1</v>
      </c>
      <c r="V17" s="1057" t="str">
        <f t="shared" si="10"/>
        <v>Skin Patch</v>
      </c>
      <c r="W17" s="1047">
        <f t="shared" ref="W17:W24" si="11">Y5*Z5*1000</f>
        <v>100</v>
      </c>
      <c r="X17" s="1048">
        <f t="shared" ref="X17:X24" si="12">Y5*AA5*2*1000</f>
        <v>0</v>
      </c>
      <c r="Y17" s="1048">
        <f>W17</f>
        <v>100</v>
      </c>
      <c r="Z17" s="1048">
        <f>X17</f>
        <v>0</v>
      </c>
    </row>
    <row r="18" spans="1:26">
      <c r="A18" s="1030">
        <f t="shared" ref="A18:A23" si="13">A6</f>
        <v>2</v>
      </c>
      <c r="B18" s="1057"/>
      <c r="C18" s="1031"/>
      <c r="D18" s="1047"/>
      <c r="E18" s="1047"/>
      <c r="F18" s="1048"/>
      <c r="G18" s="1048"/>
      <c r="H18" s="1048"/>
      <c r="K18" s="1030">
        <f t="shared" ref="K18:L24" si="14">K6</f>
        <v>2</v>
      </c>
      <c r="L18" s="1057">
        <f t="shared" si="14"/>
        <v>0</v>
      </c>
      <c r="M18" s="1047">
        <f t="shared" si="8"/>
        <v>0</v>
      </c>
      <c r="N18" s="1048">
        <f t="shared" si="9"/>
        <v>0</v>
      </c>
      <c r="O18" s="1048">
        <f t="shared" ref="O18:P24" si="15">M18</f>
        <v>0</v>
      </c>
      <c r="P18" s="1048">
        <f t="shared" si="15"/>
        <v>0</v>
      </c>
      <c r="U18" s="1030">
        <f t="shared" si="10"/>
        <v>2</v>
      </c>
      <c r="V18" s="1057">
        <f t="shared" si="10"/>
        <v>0</v>
      </c>
      <c r="W18" s="1047">
        <f t="shared" si="11"/>
        <v>50</v>
      </c>
      <c r="X18" s="1048">
        <f t="shared" si="12"/>
        <v>0</v>
      </c>
      <c r="Y18" s="1048">
        <f t="shared" ref="Y18:Y24" si="16">W18</f>
        <v>50</v>
      </c>
      <c r="Z18" s="1048">
        <f t="shared" ref="Z18:Z24" si="17">X18</f>
        <v>0</v>
      </c>
    </row>
    <row r="19" spans="1:26">
      <c r="A19" s="1030">
        <f t="shared" si="13"/>
        <v>3</v>
      </c>
      <c r="B19" s="1057"/>
      <c r="C19" s="1047"/>
      <c r="D19" s="1047"/>
      <c r="E19" s="1047"/>
      <c r="F19" s="1048"/>
      <c r="G19" s="1048"/>
      <c r="H19" s="1048"/>
      <c r="K19" s="1030">
        <f t="shared" si="14"/>
        <v>3</v>
      </c>
      <c r="L19" s="1057">
        <f t="shared" si="14"/>
        <v>0</v>
      </c>
      <c r="M19" s="1047">
        <f t="shared" si="8"/>
        <v>0</v>
      </c>
      <c r="N19" s="1048">
        <f t="shared" si="9"/>
        <v>0</v>
      </c>
      <c r="O19" s="1048">
        <f t="shared" si="15"/>
        <v>0</v>
      </c>
      <c r="P19" s="1048">
        <f t="shared" si="15"/>
        <v>0</v>
      </c>
      <c r="U19" s="1030">
        <f t="shared" si="10"/>
        <v>3</v>
      </c>
      <c r="V19" s="1057">
        <f t="shared" si="10"/>
        <v>0</v>
      </c>
      <c r="W19" s="1047">
        <f t="shared" si="11"/>
        <v>0</v>
      </c>
      <c r="X19" s="1048">
        <f t="shared" si="12"/>
        <v>0</v>
      </c>
      <c r="Y19" s="1048">
        <f t="shared" si="16"/>
        <v>0</v>
      </c>
      <c r="Z19" s="1048">
        <f t="shared" si="17"/>
        <v>0</v>
      </c>
    </row>
    <row r="20" spans="1:26">
      <c r="A20" s="1030">
        <f t="shared" si="13"/>
        <v>4</v>
      </c>
      <c r="B20" s="1057"/>
      <c r="C20" s="1047"/>
      <c r="D20" s="1047"/>
      <c r="E20" s="1047"/>
      <c r="F20" s="1048"/>
      <c r="G20" s="1048"/>
      <c r="H20" s="1048"/>
      <c r="K20" s="1030">
        <f t="shared" si="14"/>
        <v>4</v>
      </c>
      <c r="L20" s="1057">
        <f t="shared" si="14"/>
        <v>0</v>
      </c>
      <c r="M20" s="1047">
        <f t="shared" si="8"/>
        <v>0</v>
      </c>
      <c r="N20" s="1048">
        <f t="shared" si="9"/>
        <v>0</v>
      </c>
      <c r="O20" s="1048">
        <f t="shared" si="15"/>
        <v>0</v>
      </c>
      <c r="P20" s="1048">
        <f t="shared" si="15"/>
        <v>0</v>
      </c>
      <c r="U20" s="1030">
        <f t="shared" si="10"/>
        <v>4</v>
      </c>
      <c r="V20" s="1057">
        <f t="shared" si="10"/>
        <v>0</v>
      </c>
      <c r="W20" s="1047">
        <f t="shared" si="11"/>
        <v>0</v>
      </c>
      <c r="X20" s="1048">
        <f t="shared" si="12"/>
        <v>0</v>
      </c>
      <c r="Y20" s="1048">
        <f t="shared" si="16"/>
        <v>0</v>
      </c>
      <c r="Z20" s="1048">
        <f t="shared" si="17"/>
        <v>0</v>
      </c>
    </row>
    <row r="21" spans="1:26">
      <c r="A21" s="1030">
        <f t="shared" si="13"/>
        <v>5</v>
      </c>
      <c r="B21" s="1057"/>
      <c r="C21" s="1047"/>
      <c r="D21" s="1047"/>
      <c r="E21" s="1047"/>
      <c r="F21" s="1048"/>
      <c r="G21" s="1048"/>
      <c r="H21" s="1048"/>
      <c r="K21" s="1030">
        <f t="shared" si="14"/>
        <v>5</v>
      </c>
      <c r="L21" s="1057">
        <f t="shared" si="14"/>
        <v>0</v>
      </c>
      <c r="M21" s="1047">
        <f t="shared" si="8"/>
        <v>0</v>
      </c>
      <c r="N21" s="1048">
        <f t="shared" si="9"/>
        <v>0</v>
      </c>
      <c r="O21" s="1048">
        <f t="shared" si="15"/>
        <v>0</v>
      </c>
      <c r="P21" s="1048">
        <f t="shared" si="15"/>
        <v>0</v>
      </c>
      <c r="U21" s="1030">
        <f t="shared" si="10"/>
        <v>5</v>
      </c>
      <c r="V21" s="1057">
        <f t="shared" si="10"/>
        <v>0</v>
      </c>
      <c r="W21" s="1047">
        <f t="shared" si="11"/>
        <v>0</v>
      </c>
      <c r="X21" s="1048">
        <f t="shared" si="12"/>
        <v>0</v>
      </c>
      <c r="Y21" s="1048">
        <f t="shared" si="16"/>
        <v>0</v>
      </c>
      <c r="Z21" s="1048">
        <f t="shared" si="17"/>
        <v>0</v>
      </c>
    </row>
    <row r="22" spans="1:26">
      <c r="A22" s="1030">
        <f t="shared" si="13"/>
        <v>6</v>
      </c>
      <c r="B22" s="1057"/>
      <c r="C22" s="1047"/>
      <c r="D22" s="1047"/>
      <c r="E22" s="1047"/>
      <c r="F22" s="1048"/>
      <c r="G22" s="1048"/>
      <c r="H22" s="1048"/>
      <c r="K22" s="1030">
        <f t="shared" si="14"/>
        <v>6</v>
      </c>
      <c r="L22" s="1057">
        <f t="shared" si="14"/>
        <v>0</v>
      </c>
      <c r="M22" s="1047">
        <f t="shared" si="8"/>
        <v>0</v>
      </c>
      <c r="N22" s="1048">
        <f t="shared" si="9"/>
        <v>0</v>
      </c>
      <c r="O22" s="1048">
        <f t="shared" si="15"/>
        <v>0</v>
      </c>
      <c r="P22" s="1048">
        <f t="shared" si="15"/>
        <v>0</v>
      </c>
      <c r="U22" s="1030">
        <f t="shared" si="10"/>
        <v>6</v>
      </c>
      <c r="V22" s="1057">
        <f t="shared" si="10"/>
        <v>0</v>
      </c>
      <c r="W22" s="1047">
        <f t="shared" si="11"/>
        <v>0</v>
      </c>
      <c r="X22" s="1048">
        <f t="shared" si="12"/>
        <v>0</v>
      </c>
      <c r="Y22" s="1048">
        <f t="shared" si="16"/>
        <v>0</v>
      </c>
      <c r="Z22" s="1048">
        <f t="shared" si="17"/>
        <v>0</v>
      </c>
    </row>
    <row r="23" spans="1:26">
      <c r="A23" s="1030">
        <f t="shared" si="13"/>
        <v>7</v>
      </c>
      <c r="B23" s="1057"/>
      <c r="C23" s="1047"/>
      <c r="D23" s="1047"/>
      <c r="E23" s="1047"/>
      <c r="F23" s="1048"/>
      <c r="G23" s="1048"/>
      <c r="H23" s="1048"/>
      <c r="K23" s="1030">
        <f t="shared" si="14"/>
        <v>7</v>
      </c>
      <c r="L23" s="1057">
        <f t="shared" si="14"/>
        <v>0</v>
      </c>
      <c r="M23" s="1047">
        <f t="shared" si="8"/>
        <v>0</v>
      </c>
      <c r="N23" s="1048">
        <f t="shared" si="9"/>
        <v>0</v>
      </c>
      <c r="O23" s="1048">
        <f t="shared" si="15"/>
        <v>0</v>
      </c>
      <c r="P23" s="1048">
        <f t="shared" si="15"/>
        <v>0</v>
      </c>
      <c r="U23" s="1030">
        <f t="shared" si="10"/>
        <v>7</v>
      </c>
      <c r="V23" s="1057">
        <f t="shared" si="10"/>
        <v>0</v>
      </c>
      <c r="W23" s="1047">
        <f t="shared" si="11"/>
        <v>0</v>
      </c>
      <c r="X23" s="1048">
        <f t="shared" si="12"/>
        <v>0</v>
      </c>
      <c r="Y23" s="1048">
        <f t="shared" si="16"/>
        <v>0</v>
      </c>
      <c r="Z23" s="1048">
        <f t="shared" si="17"/>
        <v>0</v>
      </c>
    </row>
    <row r="24" spans="1:26">
      <c r="A24" s="1030">
        <f>A12</f>
        <v>8</v>
      </c>
      <c r="B24" s="1057"/>
      <c r="C24" s="1047"/>
      <c r="D24" s="1047"/>
      <c r="E24" s="1047"/>
      <c r="F24" s="1048"/>
      <c r="G24" s="1048"/>
      <c r="H24" s="1048"/>
      <c r="K24" s="1030">
        <f>K12</f>
        <v>8</v>
      </c>
      <c r="L24" s="1057">
        <f t="shared" si="14"/>
        <v>0</v>
      </c>
      <c r="M24" s="1047">
        <f t="shared" si="8"/>
        <v>0</v>
      </c>
      <c r="N24" s="1048">
        <f t="shared" si="9"/>
        <v>0</v>
      </c>
      <c r="O24" s="1048">
        <f t="shared" si="15"/>
        <v>0</v>
      </c>
      <c r="P24" s="1048">
        <f t="shared" si="15"/>
        <v>0</v>
      </c>
      <c r="U24" s="1030">
        <f t="shared" si="10"/>
        <v>8</v>
      </c>
      <c r="V24" s="1057">
        <f t="shared" si="10"/>
        <v>0</v>
      </c>
      <c r="W24" s="1047">
        <f t="shared" si="11"/>
        <v>0</v>
      </c>
      <c r="X24" s="1048">
        <f t="shared" si="12"/>
        <v>0</v>
      </c>
      <c r="Y24" s="1048">
        <f t="shared" si="16"/>
        <v>0</v>
      </c>
      <c r="Z24" s="1048">
        <f t="shared" si="17"/>
        <v>0</v>
      </c>
    </row>
    <row r="25" spans="1:26">
      <c r="A25" s="1030"/>
      <c r="B25" s="1057"/>
      <c r="C25" s="1329">
        <f t="shared" ref="C25:H25" si="18">SUM(C17:C24)</f>
        <v>0</v>
      </c>
      <c r="D25" s="1329">
        <f t="shared" si="18"/>
        <v>0</v>
      </c>
      <c r="E25" s="1329">
        <f t="shared" si="18"/>
        <v>0</v>
      </c>
      <c r="F25" s="1329">
        <f t="shared" si="18"/>
        <v>0</v>
      </c>
      <c r="G25" s="1329">
        <f t="shared" si="18"/>
        <v>0</v>
      </c>
      <c r="H25" s="1329">
        <f t="shared" si="18"/>
        <v>0</v>
      </c>
      <c r="K25" s="1030"/>
      <c r="L25" s="1057"/>
      <c r="M25" s="1047">
        <f>SUM(M17:M24)</f>
        <v>1340</v>
      </c>
      <c r="N25" s="1047">
        <f>SUM(N17:N24)</f>
        <v>0</v>
      </c>
      <c r="O25" s="1047">
        <f>SUM(O17:O24)</f>
        <v>1340</v>
      </c>
      <c r="P25" s="1047">
        <f>SUM(P17:P24)</f>
        <v>0</v>
      </c>
      <c r="U25" s="1030"/>
      <c r="V25" s="1057"/>
      <c r="W25" s="1047">
        <f>SUM(W17:W24)</f>
        <v>150</v>
      </c>
      <c r="X25" s="1047">
        <f>SUM(X17:X24)</f>
        <v>0</v>
      </c>
      <c r="Y25" s="1047">
        <f>SUM(Y17:Y24)</f>
        <v>150</v>
      </c>
      <c r="Z25" s="1047">
        <f>SUM(Z17:Z24)</f>
        <v>0</v>
      </c>
    </row>
    <row r="27" spans="1:26" ht="23.25">
      <c r="A27" s="1025">
        <v>1</v>
      </c>
      <c r="B27" s="1036" t="s">
        <v>1283</v>
      </c>
      <c r="D27" s="1037"/>
      <c r="K27" s="1025">
        <v>1</v>
      </c>
      <c r="L27" s="1036" t="s">
        <v>1001</v>
      </c>
      <c r="N27" s="1037">
        <f>M25</f>
        <v>1340</v>
      </c>
      <c r="O27" s="1106"/>
      <c r="P27" s="1025"/>
      <c r="U27" s="1025">
        <v>1</v>
      </c>
      <c r="V27" s="1036" t="s">
        <v>1001</v>
      </c>
      <c r="X27" s="1037"/>
      <c r="Y27" s="1106"/>
      <c r="Z27" s="1025"/>
    </row>
    <row r="28" spans="1:26" ht="23.25">
      <c r="A28" s="1025">
        <v>2</v>
      </c>
      <c r="B28" s="1036" t="s">
        <v>985</v>
      </c>
      <c r="D28" s="1037">
        <f>(E25+F25)</f>
        <v>0</v>
      </c>
      <c r="K28" s="1025">
        <v>2</v>
      </c>
      <c r="L28" s="1036" t="s">
        <v>1002</v>
      </c>
      <c r="N28" s="1037">
        <f>N25</f>
        <v>0</v>
      </c>
      <c r="U28" s="1025">
        <v>2</v>
      </c>
      <c r="V28" s="1036" t="s">
        <v>1002</v>
      </c>
      <c r="X28" s="1037">
        <f>X25</f>
        <v>0</v>
      </c>
    </row>
    <row r="29" spans="1:26" ht="23.25">
      <c r="A29" s="1025">
        <v>3</v>
      </c>
      <c r="B29" s="1036" t="s">
        <v>1223</v>
      </c>
      <c r="D29" s="1037">
        <f>G25</f>
        <v>0</v>
      </c>
      <c r="K29" s="1025">
        <v>3</v>
      </c>
      <c r="L29" s="1036" t="s">
        <v>1003</v>
      </c>
      <c r="N29" s="1037">
        <f>O25</f>
        <v>1340</v>
      </c>
      <c r="O29" s="1106"/>
      <c r="P29" s="1025"/>
      <c r="U29" s="1025">
        <v>3</v>
      </c>
      <c r="V29" s="1036" t="s">
        <v>1003</v>
      </c>
      <c r="X29" s="1037">
        <f>Y25</f>
        <v>150</v>
      </c>
      <c r="Y29" s="1106"/>
      <c r="Z29" s="1025"/>
    </row>
    <row r="30" spans="1:26" ht="23.25">
      <c r="A30" s="1025">
        <v>4</v>
      </c>
      <c r="B30" s="1036" t="s">
        <v>986</v>
      </c>
      <c r="D30" s="1037">
        <f>H25</f>
        <v>0</v>
      </c>
      <c r="K30" s="1025">
        <v>4</v>
      </c>
      <c r="L30" s="1036" t="s">
        <v>1004</v>
      </c>
      <c r="N30" s="1037">
        <f>P25</f>
        <v>0</v>
      </c>
      <c r="U30" s="1025">
        <v>4</v>
      </c>
      <c r="V30" s="1036" t="s">
        <v>1004</v>
      </c>
      <c r="X30" s="1037">
        <f>Z25</f>
        <v>0</v>
      </c>
    </row>
    <row r="31" spans="1:26" ht="23.25">
      <c r="A31" s="1025"/>
      <c r="L31" s="1038" t="s">
        <v>176</v>
      </c>
    </row>
    <row r="32" spans="1:26" ht="24">
      <c r="A32" s="1025"/>
      <c r="K32" s="1376">
        <v>0</v>
      </c>
      <c r="L32" s="1377" t="s">
        <v>1321</v>
      </c>
      <c r="M32" s="1377"/>
      <c r="N32" s="1378">
        <v>0</v>
      </c>
      <c r="O32" s="1039" t="s">
        <v>26</v>
      </c>
    </row>
    <row r="33" spans="1:17" ht="23.25">
      <c r="A33" s="1025"/>
      <c r="K33" s="1039">
        <v>1</v>
      </c>
      <c r="L33" s="1036" t="s">
        <v>979</v>
      </c>
      <c r="M33" s="1023"/>
      <c r="N33" s="1040">
        <f>C25</f>
        <v>0</v>
      </c>
      <c r="O33" s="1039" t="s">
        <v>27</v>
      </c>
    </row>
    <row r="34" spans="1:17" ht="23.25">
      <c r="K34" s="1039">
        <v>2</v>
      </c>
      <c r="L34" s="1036" t="s">
        <v>987</v>
      </c>
      <c r="N34" s="1040">
        <f>D25</f>
        <v>0</v>
      </c>
      <c r="O34" s="1039" t="s">
        <v>26</v>
      </c>
    </row>
    <row r="35" spans="1:17" ht="23.25">
      <c r="K35" s="1039">
        <v>3</v>
      </c>
      <c r="L35" s="1036" t="s">
        <v>988</v>
      </c>
      <c r="N35" s="1040">
        <f>D27+D28</f>
        <v>0</v>
      </c>
      <c r="O35" s="1039" t="s">
        <v>26</v>
      </c>
    </row>
    <row r="36" spans="1:17" ht="23.25">
      <c r="K36" s="1039">
        <v>4</v>
      </c>
      <c r="L36" s="1036" t="s">
        <v>989</v>
      </c>
      <c r="N36" s="1040">
        <f>D29+D30</f>
        <v>0</v>
      </c>
      <c r="O36" s="1039" t="s">
        <v>26</v>
      </c>
    </row>
    <row r="37" spans="1:17" ht="23.25">
      <c r="K37" s="1039">
        <v>5</v>
      </c>
      <c r="L37" s="1036" t="s">
        <v>990</v>
      </c>
      <c r="N37" s="1040">
        <f>N27+N28</f>
        <v>1340</v>
      </c>
      <c r="O37" s="1039" t="s">
        <v>26</v>
      </c>
    </row>
    <row r="38" spans="1:17" ht="23.25">
      <c r="K38" s="1039">
        <v>6</v>
      </c>
      <c r="L38" s="1036" t="s">
        <v>991</v>
      </c>
      <c r="N38" s="1040">
        <f>N29+N30+P29</f>
        <v>1340</v>
      </c>
      <c r="O38" s="1039" t="s">
        <v>26</v>
      </c>
    </row>
    <row r="39" spans="1:17" ht="23.25">
      <c r="K39" s="1039">
        <v>7</v>
      </c>
      <c r="L39" s="1036" t="s">
        <v>1279</v>
      </c>
      <c r="N39" s="1040">
        <f>X29</f>
        <v>150</v>
      </c>
      <c r="O39" s="1039" t="s">
        <v>26</v>
      </c>
    </row>
    <row r="40" spans="1:17" ht="23.25">
      <c r="K40" s="1039">
        <v>8</v>
      </c>
      <c r="L40" s="1036" t="s">
        <v>992</v>
      </c>
      <c r="N40" s="1040">
        <v>63.72</v>
      </c>
      <c r="O40" s="1039" t="s">
        <v>26</v>
      </c>
      <c r="P40" s="1025"/>
      <c r="Q40" s="1230" t="s">
        <v>1330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300" r:id="rId1"/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T149"/>
  <sheetViews>
    <sheetView showGridLines="0" view="pageBreakPreview" topLeftCell="A130" zoomScaleSheetLayoutView="100" workbookViewId="0">
      <selection activeCell="C6" sqref="C6"/>
    </sheetView>
  </sheetViews>
  <sheetFormatPr defaultColWidth="9.140625" defaultRowHeight="19.149999999999999" customHeight="1"/>
  <cols>
    <col min="1" max="1" width="4.140625" style="1615" customWidth="1"/>
    <col min="2" max="2" width="9.42578125" style="1655" customWidth="1"/>
    <col min="3" max="3" width="39" style="1615" customWidth="1"/>
    <col min="4" max="4" width="10.7109375" style="1615" customWidth="1"/>
    <col min="5" max="5" width="6.42578125" style="1615" customWidth="1"/>
    <col min="6" max="6" width="10.140625" style="1615" customWidth="1"/>
    <col min="7" max="7" width="10.42578125" style="1615" customWidth="1"/>
    <col min="8" max="8" width="12.140625" style="1615" customWidth="1"/>
    <col min="9" max="9" width="13.85546875" style="1615" customWidth="1"/>
    <col min="10" max="10" width="9.140625" style="1615" customWidth="1"/>
    <col min="11" max="11" width="13.7109375" style="1615" customWidth="1"/>
    <col min="12" max="12" width="14.85546875" style="1615" customWidth="1"/>
    <col min="13" max="13" width="9.140625" style="1615" customWidth="1"/>
    <col min="14" max="14" width="7.140625" style="1615" customWidth="1"/>
    <col min="15" max="16384" width="9.140625" style="1615"/>
  </cols>
  <sheetData>
    <row r="1" spans="1:20" ht="19.149999999999999" customHeight="1">
      <c r="A1" s="1915" t="s">
        <v>1438</v>
      </c>
      <c r="B1" s="1915"/>
      <c r="C1" s="1915"/>
      <c r="D1" s="1915"/>
      <c r="E1" s="1915"/>
      <c r="F1" s="1915"/>
      <c r="G1" s="1915"/>
      <c r="H1" s="1915"/>
      <c r="I1" s="1915"/>
      <c r="J1" s="1915"/>
      <c r="K1" s="1915"/>
      <c r="L1" s="1915"/>
      <c r="M1" s="1915"/>
      <c r="N1" s="1915"/>
    </row>
    <row r="2" spans="1:20" ht="23.25" customHeight="1">
      <c r="A2" s="1708"/>
      <c r="B2" s="1708"/>
      <c r="C2" s="1708"/>
      <c r="D2" s="1708"/>
      <c r="E2" s="1708"/>
      <c r="F2" s="1708"/>
      <c r="G2" s="1828" t="s">
        <v>1324</v>
      </c>
      <c r="H2" s="1708"/>
      <c r="I2" s="1708"/>
      <c r="J2" s="1708"/>
      <c r="K2" s="1708"/>
      <c r="L2" s="1708"/>
      <c r="M2" s="1708"/>
      <c r="N2" s="1709" t="s">
        <v>1225</v>
      </c>
    </row>
    <row r="3" spans="1:20" ht="19.149999999999999" customHeight="1">
      <c r="A3" s="1710" t="s">
        <v>1322</v>
      </c>
      <c r="C3" s="1926" t="s">
        <v>1413</v>
      </c>
      <c r="D3" s="1926"/>
      <c r="E3" s="1926"/>
      <c r="F3" s="1926"/>
      <c r="G3" s="1926"/>
      <c r="H3" s="1926"/>
      <c r="I3" s="1926"/>
      <c r="J3" s="1926"/>
      <c r="K3" s="1926"/>
      <c r="L3" s="1926"/>
      <c r="M3" s="1926"/>
      <c r="N3" s="1926"/>
    </row>
    <row r="4" spans="1:20" ht="19.149999999999999" customHeight="1">
      <c r="A4" s="1710"/>
      <c r="C4" s="1825" t="s">
        <v>1414</v>
      </c>
      <c r="D4" s="1825"/>
      <c r="E4" s="1825"/>
      <c r="F4" s="1825"/>
      <c r="G4" s="1825"/>
      <c r="H4" s="1825"/>
      <c r="I4" s="1825"/>
      <c r="J4" s="1825"/>
      <c r="K4" s="1825"/>
      <c r="L4" s="1825"/>
      <c r="M4" s="1825"/>
      <c r="N4" s="1825"/>
    </row>
    <row r="5" spans="1:20" ht="19.149999999999999" customHeight="1">
      <c r="A5" s="1710" t="s">
        <v>1327</v>
      </c>
      <c r="B5" s="1615"/>
      <c r="C5" s="1926" t="s">
        <v>1415</v>
      </c>
      <c r="D5" s="1926"/>
      <c r="E5" s="1926"/>
      <c r="F5" s="1926"/>
      <c r="G5" s="1926"/>
      <c r="H5" s="1926"/>
      <c r="I5" s="1926"/>
      <c r="J5" s="1926"/>
      <c r="K5" s="1926"/>
      <c r="L5" s="1926"/>
      <c r="M5" s="1926"/>
      <c r="N5" s="1926"/>
    </row>
    <row r="6" spans="1:20" ht="19.149999999999999" customHeight="1">
      <c r="A6" s="1710" t="s">
        <v>1328</v>
      </c>
      <c r="C6" s="1618" t="s">
        <v>1405</v>
      </c>
      <c r="E6" s="1710"/>
      <c r="G6" s="1711" t="s">
        <v>263</v>
      </c>
      <c r="H6" s="1712">
        <f>Sheet3!D2</f>
        <v>0.26800000000000002</v>
      </c>
      <c r="I6" s="1713" t="s">
        <v>1203</v>
      </c>
      <c r="L6" s="1714"/>
      <c r="M6" s="1713"/>
      <c r="N6" s="1619"/>
    </row>
    <row r="7" spans="1:20" ht="9.6" customHeight="1">
      <c r="B7" s="1715"/>
      <c r="C7" s="1716"/>
      <c r="D7" s="1717"/>
      <c r="E7" s="1717"/>
      <c r="F7" s="1717"/>
      <c r="G7" s="1717"/>
      <c r="H7" s="1717"/>
      <c r="I7" s="1717"/>
      <c r="J7" s="1717"/>
      <c r="K7" s="1717"/>
      <c r="L7" s="1717"/>
      <c r="M7" s="1717"/>
      <c r="N7" s="1619"/>
    </row>
    <row r="8" spans="1:20" ht="19.149999999999999" customHeight="1">
      <c r="A8" s="1916" t="s">
        <v>0</v>
      </c>
      <c r="B8" s="1918" t="s">
        <v>38</v>
      </c>
      <c r="C8" s="1919"/>
      <c r="D8" s="1916" t="s">
        <v>17</v>
      </c>
      <c r="E8" s="1916" t="s">
        <v>18</v>
      </c>
      <c r="F8" s="1922" t="s">
        <v>19</v>
      </c>
      <c r="G8" s="1923"/>
      <c r="H8" s="1924"/>
      <c r="I8" s="1718" t="s">
        <v>20</v>
      </c>
      <c r="J8" s="1925" t="s">
        <v>2</v>
      </c>
      <c r="K8" s="1922" t="s">
        <v>1430</v>
      </c>
      <c r="L8" s="1923"/>
      <c r="M8" s="1918" t="s">
        <v>15</v>
      </c>
      <c r="N8" s="1919"/>
    </row>
    <row r="9" spans="1:20" ht="19.149999999999999" customHeight="1">
      <c r="A9" s="1917"/>
      <c r="B9" s="1920"/>
      <c r="C9" s="1921"/>
      <c r="D9" s="1917"/>
      <c r="E9" s="1917"/>
      <c r="F9" s="1719" t="s">
        <v>21</v>
      </c>
      <c r="G9" s="1719" t="s">
        <v>22</v>
      </c>
      <c r="H9" s="1719" t="s">
        <v>23</v>
      </c>
      <c r="I9" s="1720" t="s">
        <v>24</v>
      </c>
      <c r="J9" s="1925"/>
      <c r="K9" s="1719" t="s">
        <v>279</v>
      </c>
      <c r="L9" s="1721" t="s">
        <v>23</v>
      </c>
      <c r="M9" s="1920"/>
      <c r="N9" s="1921"/>
    </row>
    <row r="10" spans="1:20" ht="19.149999999999999" customHeight="1">
      <c r="A10" s="1722"/>
      <c r="B10" s="1937" t="s">
        <v>304</v>
      </c>
      <c r="C10" s="1937"/>
      <c r="D10" s="1722"/>
      <c r="E10" s="1722"/>
      <c r="F10" s="1723"/>
      <c r="G10" s="1723"/>
      <c r="H10" s="1723"/>
      <c r="I10" s="1723"/>
      <c r="J10" s="1722"/>
      <c r="K10" s="1722"/>
      <c r="L10" s="1723"/>
      <c r="M10" s="1724"/>
      <c r="N10" s="1725"/>
    </row>
    <row r="11" spans="1:20" ht="19.149999999999999" customHeight="1">
      <c r="A11" s="1726">
        <v>1</v>
      </c>
      <c r="B11" s="1727" t="s">
        <v>25</v>
      </c>
      <c r="C11" s="1728"/>
      <c r="D11" s="1729"/>
      <c r="E11" s="1730"/>
      <c r="F11" s="1730"/>
      <c r="G11" s="1730"/>
      <c r="H11" s="1730"/>
      <c r="I11" s="1730"/>
      <c r="J11" s="1731"/>
      <c r="K11" s="1731"/>
      <c r="L11" s="1731"/>
      <c r="M11" s="1731"/>
      <c r="N11" s="1732"/>
    </row>
    <row r="12" spans="1:20" ht="19.149999999999999" customHeight="1">
      <c r="A12" s="1726"/>
      <c r="B12" s="1732" t="s">
        <v>1197</v>
      </c>
      <c r="C12" s="1728"/>
      <c r="D12" s="1733">
        <f>Sheet3!S13</f>
        <v>1340</v>
      </c>
      <c r="E12" s="1734" t="s">
        <v>26</v>
      </c>
      <c r="F12" s="1735">
        <f t="shared" ref="F12:F17" si="0">IF(D12&lt;=0,0,)</f>
        <v>0</v>
      </c>
      <c r="G12" s="1735">
        <v>1.73</v>
      </c>
      <c r="H12" s="1735">
        <f>ROUND(IF(D12&lt;=0,0,+'S2'!$BF$29),2)</f>
        <v>1.73</v>
      </c>
      <c r="I12" s="1736">
        <f t="shared" ref="I12:I23" si="1">D12*H12</f>
        <v>2318.1999999999998</v>
      </c>
      <c r="J12" s="1737">
        <v>1.3642000000000001</v>
      </c>
      <c r="K12" s="1738">
        <f>ROUND(H12*J12,2)</f>
        <v>2.36</v>
      </c>
      <c r="L12" s="1738">
        <f>D12*H12*J12</f>
        <v>3162.4884400000001</v>
      </c>
      <c r="M12" s="1731"/>
      <c r="N12" s="1732"/>
      <c r="O12" s="1615" t="s">
        <v>1336</v>
      </c>
      <c r="P12" s="1629"/>
      <c r="Q12" s="1629"/>
      <c r="R12" s="1629"/>
      <c r="S12" s="1629"/>
      <c r="T12" s="1629"/>
    </row>
    <row r="13" spans="1:20" ht="19.149999999999999" customHeight="1">
      <c r="A13" s="1726"/>
      <c r="B13" s="1732" t="s">
        <v>1280</v>
      </c>
      <c r="C13" s="1728"/>
      <c r="D13" s="1739">
        <f>Sheet3!N32</f>
        <v>0</v>
      </c>
      <c r="E13" s="1734" t="s">
        <v>26</v>
      </c>
      <c r="F13" s="1735">
        <f t="shared" si="0"/>
        <v>0</v>
      </c>
      <c r="G13" s="1735">
        <f>IF(D13&lt;=0,0,)</f>
        <v>0</v>
      </c>
      <c r="H13" s="1735">
        <f>ROUND(IF(D13&lt;=0,0,+'S2'!$BF$29),2)</f>
        <v>0</v>
      </c>
      <c r="I13" s="1736">
        <f>D13*H13</f>
        <v>0</v>
      </c>
      <c r="J13" s="1737">
        <f>IF(D13&gt;0,'S2'!$BI$17,0)</f>
        <v>0</v>
      </c>
      <c r="K13" s="1738">
        <f t="shared" ref="K13:K24" si="2">ROUND(H13*J13,2)</f>
        <v>0</v>
      </c>
      <c r="L13" s="1738">
        <f t="shared" ref="L13:L48" si="3">D13*H13*J13</f>
        <v>0</v>
      </c>
      <c r="M13" s="1740"/>
      <c r="N13" s="1741"/>
      <c r="P13" s="1629"/>
      <c r="Q13" s="1629"/>
      <c r="R13" s="1629"/>
      <c r="S13" s="1629"/>
      <c r="T13" s="1629"/>
    </row>
    <row r="14" spans="1:20" s="1743" customFormat="1" ht="19.149999999999999" customHeight="1">
      <c r="A14" s="1742"/>
      <c r="B14" s="1732" t="s">
        <v>923</v>
      </c>
      <c r="C14" s="1728"/>
      <c r="D14" s="1739">
        <v>0</v>
      </c>
      <c r="E14" s="1734" t="s">
        <v>26</v>
      </c>
      <c r="F14" s="1735">
        <f t="shared" si="0"/>
        <v>0</v>
      </c>
      <c r="G14" s="1735">
        <v>0</v>
      </c>
      <c r="H14" s="1735">
        <f>F14+G14</f>
        <v>0</v>
      </c>
      <c r="I14" s="1736">
        <f>H14*D14</f>
        <v>0</v>
      </c>
      <c r="J14" s="1737">
        <f>IF(D14&gt;0,'S2'!$BI$17,0)</f>
        <v>0</v>
      </c>
      <c r="K14" s="1738">
        <f t="shared" si="2"/>
        <v>0</v>
      </c>
      <c r="L14" s="1738">
        <f t="shared" si="3"/>
        <v>0</v>
      </c>
      <c r="M14" s="1740"/>
      <c r="N14" s="1741"/>
      <c r="P14" s="1629"/>
      <c r="Q14" s="1629"/>
      <c r="R14" s="1629"/>
      <c r="S14" s="1629"/>
      <c r="T14" s="1629"/>
    </row>
    <row r="15" spans="1:20" ht="19.149999999999999" customHeight="1">
      <c r="A15" s="1726"/>
      <c r="B15" s="1732" t="s">
        <v>1204</v>
      </c>
      <c r="C15" s="1728"/>
      <c r="D15" s="1739">
        <v>0</v>
      </c>
      <c r="E15" s="1734" t="s">
        <v>26</v>
      </c>
      <c r="F15" s="1735">
        <f t="shared" si="0"/>
        <v>0</v>
      </c>
      <c r="G15" s="1735">
        <f>IF(D15&lt;=0,0,)</f>
        <v>0</v>
      </c>
      <c r="H15" s="1735">
        <v>0</v>
      </c>
      <c r="I15" s="1736">
        <f t="shared" si="1"/>
        <v>0</v>
      </c>
      <c r="J15" s="1737">
        <f>IF(D15&gt;0,'S2'!$BI$17,0)</f>
        <v>0</v>
      </c>
      <c r="K15" s="1738">
        <f t="shared" si="2"/>
        <v>0</v>
      </c>
      <c r="L15" s="1738">
        <f t="shared" si="3"/>
        <v>0</v>
      </c>
      <c r="M15" s="1731"/>
      <c r="N15" s="1732"/>
      <c r="P15" s="1629"/>
      <c r="Q15" s="1629"/>
      <c r="R15" s="1629"/>
      <c r="S15" s="1629"/>
      <c r="T15" s="1629"/>
    </row>
    <row r="16" spans="1:20" ht="19.149999999999999" customHeight="1">
      <c r="A16" s="1730"/>
      <c r="B16" s="1732" t="s">
        <v>924</v>
      </c>
      <c r="C16" s="1728"/>
      <c r="D16" s="1739">
        <v>0</v>
      </c>
      <c r="E16" s="1734" t="s">
        <v>27</v>
      </c>
      <c r="F16" s="1735">
        <f t="shared" si="0"/>
        <v>0</v>
      </c>
      <c r="G16" s="1735">
        <f>IF(D16&lt;=0,0,)</f>
        <v>0</v>
      </c>
      <c r="H16" s="1735">
        <f>ROUND(IF(D16&lt;=0,0,+'S2'!$BF$30+'S2'!$BF$35),2)</f>
        <v>0</v>
      </c>
      <c r="I16" s="1736">
        <f t="shared" si="1"/>
        <v>0</v>
      </c>
      <c r="J16" s="1737">
        <f>IF(D16&gt;0,'S2'!$BI$17,0)</f>
        <v>0</v>
      </c>
      <c r="K16" s="1738">
        <f t="shared" si="2"/>
        <v>0</v>
      </c>
      <c r="L16" s="1738">
        <f t="shared" si="3"/>
        <v>0</v>
      </c>
      <c r="M16" s="1731"/>
      <c r="N16" s="1732"/>
      <c r="O16" s="1685"/>
      <c r="P16" s="1629"/>
      <c r="Q16" s="1629"/>
      <c r="R16" s="1629"/>
      <c r="S16" s="1629"/>
      <c r="T16" s="1629"/>
    </row>
    <row r="17" spans="1:20" s="1743" customFormat="1" ht="19.149999999999999" customHeight="1">
      <c r="A17" s="1744"/>
      <c r="B17" s="1938" t="s">
        <v>1196</v>
      </c>
      <c r="C17" s="1939"/>
      <c r="D17" s="1739">
        <v>0</v>
      </c>
      <c r="E17" s="1734" t="s">
        <v>27</v>
      </c>
      <c r="F17" s="1735">
        <f t="shared" si="0"/>
        <v>0</v>
      </c>
      <c r="G17" s="1735">
        <f>IF(D17&lt;=0,0,)</f>
        <v>0</v>
      </c>
      <c r="H17" s="1736">
        <f t="shared" ref="H17:H22" si="4">ROUND(F17+G17,2)</f>
        <v>0</v>
      </c>
      <c r="I17" s="1736">
        <f>D17*H17</f>
        <v>0</v>
      </c>
      <c r="J17" s="1737">
        <f>IF(D17&gt;0,'S2'!$BI$17,0)</f>
        <v>0</v>
      </c>
      <c r="K17" s="1738">
        <f t="shared" si="2"/>
        <v>0</v>
      </c>
      <c r="L17" s="1738">
        <f t="shared" si="3"/>
        <v>0</v>
      </c>
      <c r="M17" s="1740"/>
      <c r="N17" s="1741"/>
      <c r="O17" s="1745"/>
      <c r="P17" s="1629"/>
      <c r="Q17" s="1629"/>
      <c r="R17" s="1629"/>
      <c r="S17" s="1629"/>
      <c r="T17" s="1629"/>
    </row>
    <row r="18" spans="1:20" s="1743" customFormat="1" ht="19.149999999999999" customHeight="1">
      <c r="A18" s="1744"/>
      <c r="B18" s="1731" t="s">
        <v>925</v>
      </c>
      <c r="C18" s="1732"/>
      <c r="D18" s="1739">
        <v>0</v>
      </c>
      <c r="E18" s="1734" t="s">
        <v>27</v>
      </c>
      <c r="F18" s="1735">
        <f>IF(D18&lt;=0,0,+'1.ข้อมูล'!$K$32)</f>
        <v>0</v>
      </c>
      <c r="G18" s="1735">
        <f>IF(D18&lt;=0,0,+'1.ข้อมูล'!$K$33)</f>
        <v>0</v>
      </c>
      <c r="H18" s="1736">
        <f t="shared" si="4"/>
        <v>0</v>
      </c>
      <c r="I18" s="1736">
        <f>D18*H18</f>
        <v>0</v>
      </c>
      <c r="J18" s="1737">
        <f>IF(D18&gt;0,'S2'!$BI$17,0)</f>
        <v>0</v>
      </c>
      <c r="K18" s="1738">
        <f t="shared" si="2"/>
        <v>0</v>
      </c>
      <c r="L18" s="1738">
        <f t="shared" si="3"/>
        <v>0</v>
      </c>
      <c r="M18" s="1740"/>
      <c r="N18" s="1741"/>
      <c r="P18" s="1629"/>
      <c r="Q18" s="1629"/>
      <c r="R18" s="1629"/>
      <c r="S18" s="1629"/>
      <c r="T18" s="1629"/>
    </row>
    <row r="19" spans="1:20" ht="19.149999999999999" customHeight="1">
      <c r="A19" s="1730"/>
      <c r="B19" s="1731" t="s">
        <v>926</v>
      </c>
      <c r="C19" s="1732"/>
      <c r="D19" s="1739">
        <v>0</v>
      </c>
      <c r="E19" s="1734" t="s">
        <v>27</v>
      </c>
      <c r="F19" s="1735">
        <f>IF(D19&lt;=0,0,+'1.ข้อมูล'!$K$40)</f>
        <v>0</v>
      </c>
      <c r="G19" s="1735">
        <f>IF(D19&lt;=0,0,+'1.ข้อมูล'!$K$41)</f>
        <v>0</v>
      </c>
      <c r="H19" s="1736">
        <f t="shared" si="4"/>
        <v>0</v>
      </c>
      <c r="I19" s="1736">
        <f t="shared" si="1"/>
        <v>0</v>
      </c>
      <c r="J19" s="1737">
        <f>IF(D19&gt;0,'S2'!$BI$17,0)</f>
        <v>0</v>
      </c>
      <c r="K19" s="1738">
        <f t="shared" si="2"/>
        <v>0</v>
      </c>
      <c r="L19" s="1738">
        <f t="shared" si="3"/>
        <v>0</v>
      </c>
      <c r="M19" s="1731"/>
      <c r="N19" s="1732"/>
      <c r="P19" s="1629"/>
      <c r="Q19" s="1629"/>
      <c r="R19" s="1629"/>
      <c r="S19" s="1629"/>
      <c r="T19" s="1629"/>
    </row>
    <row r="20" spans="1:20" ht="19.149999999999999" customHeight="1">
      <c r="A20" s="1730"/>
      <c r="B20" s="1732" t="s">
        <v>927</v>
      </c>
      <c r="C20" s="1728"/>
      <c r="D20" s="1739">
        <v>0</v>
      </c>
      <c r="E20" s="1734" t="s">
        <v>27</v>
      </c>
      <c r="F20" s="1735">
        <f>IF(D20&lt;=0,0,+'1.ข้อมูล'!$K$48)</f>
        <v>0</v>
      </c>
      <c r="G20" s="1735">
        <f>IF(D20&lt;=0,0,+'1.ข้อมูล'!$K$49)</f>
        <v>0</v>
      </c>
      <c r="H20" s="1736">
        <f t="shared" si="4"/>
        <v>0</v>
      </c>
      <c r="I20" s="1736">
        <f t="shared" si="1"/>
        <v>0</v>
      </c>
      <c r="J20" s="1737">
        <f>IF(D20&gt;0,'S2'!$BI$17,0)</f>
        <v>0</v>
      </c>
      <c r="K20" s="1738">
        <f t="shared" si="2"/>
        <v>0</v>
      </c>
      <c r="L20" s="1738">
        <f t="shared" si="3"/>
        <v>0</v>
      </c>
      <c r="M20" s="1731"/>
      <c r="N20" s="1732"/>
      <c r="O20" s="1655"/>
      <c r="P20" s="1629"/>
      <c r="Q20" s="1629"/>
      <c r="R20" s="1629"/>
      <c r="S20" s="1629"/>
      <c r="T20" s="1629"/>
    </row>
    <row r="21" spans="1:20" ht="19.149999999999999" customHeight="1">
      <c r="A21" s="1730"/>
      <c r="B21" s="1732" t="s">
        <v>932</v>
      </c>
      <c r="C21" s="1728"/>
      <c r="D21" s="1739">
        <v>0</v>
      </c>
      <c r="E21" s="1734" t="s">
        <v>27</v>
      </c>
      <c r="F21" s="1735">
        <f>IF(D21&lt;=0,0,+'1.ข้อมูล'!$K$55)</f>
        <v>0</v>
      </c>
      <c r="G21" s="1735">
        <f>IF(D21&lt;=0,0,+'1.ข้อมูล'!$K$56+'1.ข้อมูล'!$K$57)</f>
        <v>0</v>
      </c>
      <c r="H21" s="1736">
        <f t="shared" si="4"/>
        <v>0</v>
      </c>
      <c r="I21" s="1736">
        <f>D21*H21</f>
        <v>0</v>
      </c>
      <c r="J21" s="1737">
        <f>IF(D21&gt;0,'S2'!$BI$17,0)</f>
        <v>0</v>
      </c>
      <c r="K21" s="1738">
        <f t="shared" si="2"/>
        <v>0</v>
      </c>
      <c r="L21" s="1738">
        <f t="shared" si="3"/>
        <v>0</v>
      </c>
      <c r="M21" s="1731"/>
      <c r="N21" s="1732"/>
      <c r="O21" s="1655"/>
      <c r="P21" s="1629"/>
      <c r="Q21" s="1629"/>
      <c r="R21" s="1629"/>
      <c r="S21" s="1629"/>
      <c r="T21" s="1629"/>
    </row>
    <row r="22" spans="1:20" s="1743" customFormat="1" ht="19.149999999999999" customHeight="1">
      <c r="A22" s="1744"/>
      <c r="B22" s="1732" t="s">
        <v>1195</v>
      </c>
      <c r="C22" s="1728"/>
      <c r="D22" s="1739">
        <f>Sheet3!N33</f>
        <v>0</v>
      </c>
      <c r="E22" s="1734" t="s">
        <v>27</v>
      </c>
      <c r="F22" s="1746">
        <f>IF(D22&lt;=0,0,+'1.ข้อมูล'!$K$71)</f>
        <v>0</v>
      </c>
      <c r="G22" s="1735">
        <f>IF(D22&lt;=0,0,+'1.ข้อมูล'!$K$56+'1.ข้อมูล'!$K$57)</f>
        <v>0</v>
      </c>
      <c r="H22" s="1736">
        <f t="shared" si="4"/>
        <v>0</v>
      </c>
      <c r="I22" s="1736">
        <f>D22*H22</f>
        <v>0</v>
      </c>
      <c r="J22" s="1737">
        <f>IF(D22&gt;0,'S2'!$BI$17,0)</f>
        <v>0</v>
      </c>
      <c r="K22" s="1738">
        <f t="shared" si="2"/>
        <v>0</v>
      </c>
      <c r="L22" s="1738">
        <f t="shared" si="3"/>
        <v>0</v>
      </c>
      <c r="M22" s="1940"/>
      <c r="N22" s="1941"/>
      <c r="O22" s="1747"/>
      <c r="P22" s="1674"/>
      <c r="Q22" s="1629"/>
      <c r="R22" s="1629"/>
      <c r="S22" s="1629"/>
      <c r="T22" s="1629"/>
    </row>
    <row r="23" spans="1:20" ht="19.149999999999999" customHeight="1">
      <c r="A23" s="1730"/>
      <c r="B23" s="1732" t="s">
        <v>928</v>
      </c>
      <c r="C23" s="1728"/>
      <c r="D23" s="1739">
        <f>Sheet3!X29</f>
        <v>150</v>
      </c>
      <c r="E23" s="1734" t="s">
        <v>26</v>
      </c>
      <c r="F23" s="1735">
        <f>'1.ข้อมูล'!K75</f>
        <v>172.89944920440632</v>
      </c>
      <c r="G23" s="1735">
        <f>'1.ข้อมูล'!K76</f>
        <v>9.3919999999999995</v>
      </c>
      <c r="H23" s="1735">
        <f>SUM(F23+G23)</f>
        <v>182.29144920440632</v>
      </c>
      <c r="I23" s="1736">
        <f t="shared" si="1"/>
        <v>27343.717380660946</v>
      </c>
      <c r="J23" s="1737">
        <f>J12</f>
        <v>1.3642000000000001</v>
      </c>
      <c r="K23" s="1738">
        <f t="shared" si="2"/>
        <v>248.68</v>
      </c>
      <c r="L23" s="1738">
        <f t="shared" si="3"/>
        <v>37302.299250697666</v>
      </c>
      <c r="M23" s="1731"/>
      <c r="N23" s="1732"/>
      <c r="O23" s="1655"/>
      <c r="P23" s="1681"/>
      <c r="Q23" s="1629"/>
      <c r="R23" s="1629"/>
      <c r="S23" s="1629"/>
      <c r="T23" s="1629"/>
    </row>
    <row r="24" spans="1:20" ht="19.149999999999999" customHeight="1">
      <c r="A24" s="1730"/>
      <c r="B24" s="1732" t="s">
        <v>929</v>
      </c>
      <c r="C24" s="1728"/>
      <c r="D24" s="1739">
        <v>0</v>
      </c>
      <c r="E24" s="1734" t="s">
        <v>26</v>
      </c>
      <c r="F24" s="1735">
        <f>IF(D24&lt;=0,0,)</f>
        <v>0</v>
      </c>
      <c r="G24" s="1735">
        <f>IF(D24&lt;=0,0,)</f>
        <v>0</v>
      </c>
      <c r="H24" s="1735">
        <f>ROUND(IF(D24&lt;=0,0,+'1.ข้อมูล'!$K$77),2)</f>
        <v>0</v>
      </c>
      <c r="I24" s="1736">
        <f t="shared" ref="I24" si="5">D24*H24</f>
        <v>0</v>
      </c>
      <c r="J24" s="1737">
        <f>IF(D24&gt;0,'S2'!$BI$17,0)</f>
        <v>0</v>
      </c>
      <c r="K24" s="1738">
        <f t="shared" si="2"/>
        <v>0</v>
      </c>
      <c r="L24" s="1738">
        <f t="shared" si="3"/>
        <v>0</v>
      </c>
      <c r="M24" s="1731"/>
      <c r="N24" s="1732"/>
      <c r="P24" s="1629"/>
      <c r="Q24" s="1629"/>
      <c r="R24" s="1629"/>
      <c r="S24" s="1629"/>
      <c r="T24" s="1629"/>
    </row>
    <row r="25" spans="1:20" ht="19.149999999999999" customHeight="1">
      <c r="A25" s="1730"/>
      <c r="B25" s="1732" t="s">
        <v>930</v>
      </c>
      <c r="C25" s="1728"/>
      <c r="D25" s="1739">
        <f>Sheet3!N34</f>
        <v>0</v>
      </c>
      <c r="E25" s="1734" t="s">
        <v>26</v>
      </c>
      <c r="F25" s="1735">
        <f>IF(D25&lt;=0,0,)</f>
        <v>0</v>
      </c>
      <c r="G25" s="1735">
        <f>IF(D25&lt;=0,0,)</f>
        <v>0</v>
      </c>
      <c r="H25" s="1735">
        <f>ROUND(IF(D25&lt;=0,0,+'1.ข้อมูล'!$K$77),2)</f>
        <v>0</v>
      </c>
      <c r="I25" s="1736">
        <f t="shared" ref="I25" si="6">D25*H25</f>
        <v>0</v>
      </c>
      <c r="J25" s="1737">
        <f>IF(D25&gt;0,'S2'!$BI$17,0)</f>
        <v>0</v>
      </c>
      <c r="K25" s="1738">
        <f t="shared" ref="K25" si="7">ROUND(H25*J25,2)</f>
        <v>0</v>
      </c>
      <c r="L25" s="1738">
        <f t="shared" si="3"/>
        <v>0</v>
      </c>
      <c r="M25" s="1731"/>
      <c r="N25" s="1732"/>
      <c r="O25" s="1655"/>
      <c r="P25" s="1629"/>
      <c r="Q25" s="1629"/>
      <c r="R25" s="1629"/>
      <c r="S25" s="1629"/>
      <c r="T25" s="1629"/>
    </row>
    <row r="26" spans="1:20" ht="19.149999999999999" customHeight="1">
      <c r="A26" s="1726">
        <v>2</v>
      </c>
      <c r="B26" s="1942" t="s">
        <v>28</v>
      </c>
      <c r="C26" s="1943"/>
      <c r="D26" s="1748"/>
      <c r="E26" s="1730"/>
      <c r="F26" s="1736"/>
      <c r="G26" s="1735">
        <f t="shared" ref="G26:G27" si="8">IF(D26&lt;=0,0,)</f>
        <v>0</v>
      </c>
      <c r="H26" s="1735">
        <f>ROUND(IF(D26&lt;=0,0,+'1.ข้อมูล'!$K$77),2)</f>
        <v>0</v>
      </c>
      <c r="I26" s="1736">
        <f t="shared" ref="I26:I27" si="9">D26*H26</f>
        <v>0</v>
      </c>
      <c r="J26" s="1737">
        <f>IF(D26&gt;0,'S2'!$BI$17,0)</f>
        <v>0</v>
      </c>
      <c r="K26" s="1738">
        <f t="shared" ref="K26:K27" si="10">ROUND(H26*J26,2)</f>
        <v>0</v>
      </c>
      <c r="L26" s="1738"/>
      <c r="M26" s="1731"/>
      <c r="N26" s="1732"/>
    </row>
    <row r="27" spans="1:20" ht="19.149999999999999" customHeight="1">
      <c r="A27" s="1730"/>
      <c r="B27" s="1731" t="s">
        <v>29</v>
      </c>
      <c r="C27" s="1732"/>
      <c r="D27" s="1739">
        <f>Sheet3!N35</f>
        <v>0</v>
      </c>
      <c r="E27" s="1734" t="s">
        <v>26</v>
      </c>
      <c r="F27" s="1746">
        <f>IF(D27&lt;=0,0,+'1.ข้อมูล'!$K$82)</f>
        <v>0</v>
      </c>
      <c r="G27" s="1735">
        <f t="shared" si="8"/>
        <v>0</v>
      </c>
      <c r="H27" s="1735">
        <f>ROUND(IF(D27&lt;=0,0,+'1.ข้อมูล'!$K$77),2)</f>
        <v>0</v>
      </c>
      <c r="I27" s="1736">
        <f t="shared" si="9"/>
        <v>0</v>
      </c>
      <c r="J27" s="1737">
        <f>IF(D27&gt;0,'S2'!$BI$17,0)</f>
        <v>0</v>
      </c>
      <c r="K27" s="1738">
        <f t="shared" si="10"/>
        <v>0</v>
      </c>
      <c r="L27" s="1738">
        <f t="shared" si="3"/>
        <v>0</v>
      </c>
      <c r="M27" s="1731"/>
      <c r="N27" s="1732"/>
    </row>
    <row r="28" spans="1:20" ht="19.149999999999999" customHeight="1">
      <c r="A28" s="1730"/>
      <c r="B28" s="1728" t="s">
        <v>1193</v>
      </c>
      <c r="C28" s="1732"/>
      <c r="D28" s="1739">
        <f>Sheet3!N27</f>
        <v>1340</v>
      </c>
      <c r="E28" s="1734" t="s">
        <v>26</v>
      </c>
      <c r="F28" s="1735">
        <f>IF(D28&lt;=0,0,+'1.ข้อมูล'!$K$87)</f>
        <v>8.25</v>
      </c>
      <c r="G28" s="1735">
        <f>IF(E28&lt;=0,0,+'1.ข้อมูล'!$K$86)</f>
        <v>7.05</v>
      </c>
      <c r="H28" s="1735">
        <f>F28+G28</f>
        <v>15.3</v>
      </c>
      <c r="I28" s="1736">
        <f t="shared" ref="I28" si="11">D28*H28</f>
        <v>20502</v>
      </c>
      <c r="J28" s="1737">
        <f>J12</f>
        <v>1.3642000000000001</v>
      </c>
      <c r="K28" s="1738">
        <f t="shared" ref="K28" si="12">ROUND(H28*J28,2)</f>
        <v>20.87</v>
      </c>
      <c r="L28" s="1738">
        <f>D28*H28*J28</f>
        <v>27968.828400000002</v>
      </c>
      <c r="M28" s="1731"/>
      <c r="N28" s="1732"/>
    </row>
    <row r="29" spans="1:20" ht="19.149999999999999" customHeight="1">
      <c r="A29" s="1730"/>
      <c r="B29" s="1732" t="s">
        <v>180</v>
      </c>
      <c r="C29" s="1728"/>
      <c r="D29" s="1748"/>
      <c r="E29" s="1730"/>
      <c r="F29" s="1736"/>
      <c r="G29" s="1736"/>
      <c r="H29" s="1736"/>
      <c r="I29" s="1736"/>
      <c r="J29" s="1737"/>
      <c r="K29" s="1738"/>
      <c r="L29" s="1738"/>
      <c r="M29" s="1731"/>
      <c r="N29" s="1732"/>
    </row>
    <row r="30" spans="1:20" ht="19.149999999999999" customHeight="1">
      <c r="A30" s="1730"/>
      <c r="B30" s="1732" t="s">
        <v>1411</v>
      </c>
      <c r="C30" s="1728"/>
      <c r="D30" s="1739">
        <f>Sheet3!N36</f>
        <v>0</v>
      </c>
      <c r="E30" s="1734" t="s">
        <v>26</v>
      </c>
      <c r="F30" s="1746">
        <f>IF(D30&lt;=0,0,+'1.ข้อมูล'!$K$175)</f>
        <v>0</v>
      </c>
      <c r="G30" s="1735">
        <f t="shared" ref="G30" si="13">IF(D30&lt;=0,0,)</f>
        <v>0</v>
      </c>
      <c r="H30" s="1735">
        <f>ROUND(IF(D30&lt;=0,0,+'1.ข้อมูล'!$K$77),2)</f>
        <v>0</v>
      </c>
      <c r="I30" s="1736">
        <f t="shared" ref="I30" si="14">D30*H30</f>
        <v>0</v>
      </c>
      <c r="J30" s="1737">
        <f>IF(D30&gt;0,'S2'!$BI$17,0)</f>
        <v>0</v>
      </c>
      <c r="K30" s="1738">
        <f>ROUND(H30*J30,2)</f>
        <v>0</v>
      </c>
      <c r="L30" s="1738">
        <f t="shared" si="3"/>
        <v>0</v>
      </c>
      <c r="M30" s="1749"/>
      <c r="N30" s="1732"/>
    </row>
    <row r="31" spans="1:20" ht="19.149999999999999" customHeight="1">
      <c r="A31" s="1730"/>
      <c r="B31" s="1731" t="s">
        <v>1412</v>
      </c>
      <c r="C31" s="1728"/>
      <c r="D31" s="1750">
        <f>Sheet3!N29</f>
        <v>1340</v>
      </c>
      <c r="E31" s="1734" t="s">
        <v>26</v>
      </c>
      <c r="F31" s="1735">
        <f>IF(D31&lt;=0,0,+'1.ข้อมูล'!$K$163)</f>
        <v>274.42</v>
      </c>
      <c r="G31" s="1735">
        <v>9.39</v>
      </c>
      <c r="H31" s="1735">
        <f>F31+G31</f>
        <v>283.81</v>
      </c>
      <c r="I31" s="1736">
        <f t="shared" ref="I31" si="15">D31*H31</f>
        <v>380305.4</v>
      </c>
      <c r="J31" s="1737">
        <f>J28</f>
        <v>1.3642000000000001</v>
      </c>
      <c r="K31" s="1738">
        <f t="shared" ref="K31" si="16">ROUND(H31*J31,2)</f>
        <v>387.17</v>
      </c>
      <c r="L31" s="1738">
        <f t="shared" si="3"/>
        <v>518812.62668000004</v>
      </c>
      <c r="M31" s="1749"/>
      <c r="N31" s="1732"/>
    </row>
    <row r="32" spans="1:20" ht="19.149999999999999" customHeight="1">
      <c r="A32" s="1730"/>
      <c r="B32" s="1731" t="s">
        <v>1270</v>
      </c>
      <c r="C32" s="1728"/>
      <c r="D32" s="1750">
        <v>0</v>
      </c>
      <c r="E32" s="1734" t="s">
        <v>26</v>
      </c>
      <c r="F32" s="1735">
        <f>IF(D32&lt;=0,0,+'1.ข้อมูล'!$K$175)</f>
        <v>0</v>
      </c>
      <c r="G32" s="1735">
        <f>IF(D32&lt;=0,0,)</f>
        <v>0</v>
      </c>
      <c r="H32" s="1735">
        <f>ROUND(IF(D32&lt;=0,0,+'1.ข้อมูล'!$K$77),2)</f>
        <v>0</v>
      </c>
      <c r="I32" s="1736">
        <f t="shared" ref="I32" si="17">D32*H32</f>
        <v>0</v>
      </c>
      <c r="J32" s="1737">
        <v>0</v>
      </c>
      <c r="K32" s="1738">
        <f t="shared" ref="K32" si="18">ROUND(H32*J32,2)</f>
        <v>0</v>
      </c>
      <c r="L32" s="1738">
        <f t="shared" ref="L32" si="19">D32*H32*J32</f>
        <v>0</v>
      </c>
      <c r="M32" s="1749"/>
      <c r="N32" s="1732"/>
    </row>
    <row r="33" spans="1:14" ht="19.149999999999999" customHeight="1">
      <c r="A33" s="1730"/>
      <c r="B33" s="1732" t="s">
        <v>1179</v>
      </c>
      <c r="C33" s="1728"/>
      <c r="D33" s="1751"/>
      <c r="E33" s="1734"/>
      <c r="F33" s="1735"/>
      <c r="G33" s="1735"/>
      <c r="H33" s="1736"/>
      <c r="I33" s="1736"/>
      <c r="J33" s="1737">
        <f>IF(D33&gt;0,'S2'!$BI$17,0)</f>
        <v>0</v>
      </c>
      <c r="K33" s="1738"/>
      <c r="L33" s="1738"/>
      <c r="M33" s="1749"/>
      <c r="N33" s="1732"/>
    </row>
    <row r="34" spans="1:14" ht="19.149999999999999" customHeight="1">
      <c r="A34" s="1730"/>
      <c r="B34" s="1732" t="s">
        <v>1180</v>
      </c>
      <c r="C34" s="1728"/>
      <c r="D34" s="1750">
        <v>0</v>
      </c>
      <c r="E34" s="1734" t="s">
        <v>26</v>
      </c>
      <c r="F34" s="1735">
        <f>IF(D34&lt;=0,0,+'1.ข้อมูล'!$K$197)</f>
        <v>0</v>
      </c>
      <c r="G34" s="1735">
        <f>IF(D34&lt;=0,0,+IF('1.ข้อมูล'!$E$185=5,'S2'!$BF$19,IF('1.ข้อมูล'!$E$185=4,'S2'!$BF$19*0.9,IF('1.ข้อมูล'!$E$185=3.5,'S2'!$BF$19*0.85,IF('1.ข้อมูล'!$E$185=3,'S2'!$BF$19*0.8)))))</f>
        <v>0</v>
      </c>
      <c r="H34" s="1736">
        <f>ROUND(F34+G34,2)</f>
        <v>0</v>
      </c>
      <c r="I34" s="1736">
        <f>D34*H34</f>
        <v>0</v>
      </c>
      <c r="J34" s="1737">
        <f>IF(D34&gt;0,'S2'!$BI$17,0)</f>
        <v>0</v>
      </c>
      <c r="K34" s="1738">
        <f>ROUNDDOWN(H34*J34,2)</f>
        <v>0</v>
      </c>
      <c r="L34" s="1738">
        <f>D34*H34*J34</f>
        <v>0</v>
      </c>
      <c r="M34" s="1749"/>
      <c r="N34" s="1732"/>
    </row>
    <row r="35" spans="1:14" ht="19.149999999999999" customHeight="1">
      <c r="A35" s="1730"/>
      <c r="B35" s="1731" t="s">
        <v>1181</v>
      </c>
      <c r="C35" s="1728"/>
      <c r="D35" s="1750">
        <v>0</v>
      </c>
      <c r="E35" s="1734" t="s">
        <v>26</v>
      </c>
      <c r="F35" s="1735">
        <f>IF(D35&lt;=0,0,+'1.ข้อมูล'!$K$197)</f>
        <v>0</v>
      </c>
      <c r="G35" s="1735">
        <v>0</v>
      </c>
      <c r="H35" s="1736">
        <f>ROUND(F35+G35,2)</f>
        <v>0</v>
      </c>
      <c r="I35" s="1736">
        <f>D35*H35</f>
        <v>0</v>
      </c>
      <c r="J35" s="1737">
        <f>IF(D35&gt;0,'S2'!$BI$17,0)</f>
        <v>0</v>
      </c>
      <c r="K35" s="1738">
        <f>ROUNDDOWN(H35*J35,2)</f>
        <v>0</v>
      </c>
      <c r="L35" s="1738">
        <f>D35*H35*J35</f>
        <v>0</v>
      </c>
      <c r="M35" s="1749"/>
      <c r="N35" s="1732"/>
    </row>
    <row r="36" spans="1:14" ht="19.149999999999999" customHeight="1">
      <c r="A36" s="1726">
        <v>3</v>
      </c>
      <c r="B36" s="1752" t="s">
        <v>40</v>
      </c>
      <c r="C36" s="1728"/>
      <c r="D36" s="1748"/>
      <c r="E36" s="1734"/>
      <c r="F36" s="1736"/>
      <c r="G36" s="1736"/>
      <c r="H36" s="1736"/>
      <c r="I36" s="1736"/>
      <c r="J36" s="1737">
        <f>IF(D36&gt;0,'S2'!$BI$17,0)</f>
        <v>0</v>
      </c>
      <c r="K36" s="1738"/>
      <c r="L36" s="1738"/>
      <c r="M36" s="1731"/>
      <c r="N36" s="1732"/>
    </row>
    <row r="37" spans="1:14" ht="19.149999999999999" customHeight="1">
      <c r="A37" s="1730"/>
      <c r="B37" s="1753" t="s">
        <v>43</v>
      </c>
      <c r="C37" s="1728"/>
      <c r="D37" s="1733">
        <v>0</v>
      </c>
      <c r="E37" s="1734" t="s">
        <v>26</v>
      </c>
      <c r="F37" s="1735">
        <f>IF(D37&lt;=0,0,+'1.ข้อมูล'!$K$82)</f>
        <v>0</v>
      </c>
      <c r="G37" s="1735">
        <f>IF(D37&lt;=0,0,+'S2'!$BF$15)</f>
        <v>0</v>
      </c>
      <c r="H37" s="1736">
        <f>ROUND(F37+G37,2)</f>
        <v>0</v>
      </c>
      <c r="I37" s="1736">
        <f>D37*H37</f>
        <v>0</v>
      </c>
      <c r="J37" s="1737">
        <f>IF(D37&gt;0,'S2'!$BI$17,0)</f>
        <v>0</v>
      </c>
      <c r="K37" s="1738">
        <f>ROUND(H37*J37,2)</f>
        <v>0</v>
      </c>
      <c r="L37" s="1738">
        <f t="shared" si="3"/>
        <v>0</v>
      </c>
      <c r="M37" s="1731"/>
      <c r="N37" s="1732"/>
    </row>
    <row r="38" spans="1:14" ht="19.149999999999999" customHeight="1">
      <c r="A38" s="1730"/>
      <c r="B38" s="1753" t="s">
        <v>42</v>
      </c>
      <c r="C38" s="1728"/>
      <c r="D38" s="1733">
        <f>Sheet3!N28</f>
        <v>0</v>
      </c>
      <c r="E38" s="1734" t="s">
        <v>26</v>
      </c>
      <c r="F38" s="1735">
        <f>IF(D38&lt;=0,0,+'1.ข้อมูล'!$K$82)</f>
        <v>0</v>
      </c>
      <c r="G38" s="1735">
        <f>IF(D38&lt;=0,0,+'S2'!$BF$15)</f>
        <v>0</v>
      </c>
      <c r="H38" s="1736">
        <f>ROUND(F38+G38,2)</f>
        <v>0</v>
      </c>
      <c r="I38" s="1736">
        <f>D38*H38</f>
        <v>0</v>
      </c>
      <c r="J38" s="1737">
        <f>IF(D38&gt;0,'S2'!$BI$17,0)</f>
        <v>0</v>
      </c>
      <c r="K38" s="1738">
        <f>ROUND(H38*J38,2)</f>
        <v>0</v>
      </c>
      <c r="L38" s="1738">
        <f>D38*H38*J38</f>
        <v>0</v>
      </c>
      <c r="M38" s="1731"/>
      <c r="N38" s="1732"/>
    </row>
    <row r="39" spans="1:14" ht="19.149999999999999" customHeight="1">
      <c r="A39" s="1730"/>
      <c r="B39" s="1732" t="s">
        <v>181</v>
      </c>
      <c r="C39" s="1728"/>
      <c r="D39" s="1754"/>
      <c r="E39" s="1734"/>
      <c r="F39" s="1735"/>
      <c r="G39" s="1735"/>
      <c r="H39" s="1736"/>
      <c r="I39" s="1736"/>
      <c r="J39" s="1737">
        <f>IF(D39&gt;0,'S2'!$BI$17,0)</f>
        <v>0</v>
      </c>
      <c r="K39" s="1738"/>
      <c r="L39" s="1738"/>
      <c r="M39" s="1731"/>
      <c r="N39" s="1732"/>
    </row>
    <row r="40" spans="1:14" ht="19.149999999999999" customHeight="1">
      <c r="A40" s="1730"/>
      <c r="B40" s="1753" t="s">
        <v>1281</v>
      </c>
      <c r="C40" s="1728"/>
      <c r="D40" s="1733">
        <v>0</v>
      </c>
      <c r="E40" s="1734" t="s">
        <v>26</v>
      </c>
      <c r="F40" s="1735">
        <f>IF(D40&lt;=0,0,+'1.ข้อมูล'!$K$175)</f>
        <v>0</v>
      </c>
      <c r="G40" s="1735">
        <f>IF(D40&lt;=0,0,+IF('1.ข้อมูล'!$E$163=5,'S2'!$BF$19,IF('1.ข้อมูล'!$E$163=4,'S2'!$BF$19*0.9,IF('1.ข้อมูล'!$E$163=3.5,'S2'!$BF$19*0.85,IF('1.ข้อมูล'!$E$163=3,'S2'!$BF$19*0.8)))))</f>
        <v>0</v>
      </c>
      <c r="H40" s="1736">
        <f>ROUND(F40+G40,2)</f>
        <v>0</v>
      </c>
      <c r="I40" s="1736">
        <f>D40*H40</f>
        <v>0</v>
      </c>
      <c r="J40" s="1737">
        <f>IF(D40&gt;0,'S2'!$BI$17,0)</f>
        <v>0</v>
      </c>
      <c r="K40" s="1738">
        <f>ROUND(H40*J40,2)</f>
        <v>0</v>
      </c>
      <c r="L40" s="1738">
        <f t="shared" si="3"/>
        <v>0</v>
      </c>
      <c r="M40" s="1749"/>
      <c r="N40" s="1732"/>
    </row>
    <row r="41" spans="1:14" ht="19.149999999999999" customHeight="1">
      <c r="A41" s="1730"/>
      <c r="B41" s="1753" t="s">
        <v>1282</v>
      </c>
      <c r="C41" s="1728"/>
      <c r="D41" s="1733">
        <f>Sheet3!N30</f>
        <v>0</v>
      </c>
      <c r="E41" s="1734" t="s">
        <v>26</v>
      </c>
      <c r="F41" s="1735">
        <f>IF(D41&lt;=0,0,+'1.ข้อมูล'!$K$175)</f>
        <v>0</v>
      </c>
      <c r="G41" s="1735">
        <f>IF(D41&lt;=0,0,+IF('1.ข้อมูล'!$E$163=5,'S2'!$BF$19,IF('1.ข้อมูล'!$E$163=4,'S2'!$BF$19*0.9,IF('1.ข้อมูล'!$E$163=3.5,'S2'!$BF$19*0.85,IF('1.ข้อมูล'!$E$163=3,'S2'!$BF$19*0.8)))))</f>
        <v>0</v>
      </c>
      <c r="H41" s="1736">
        <f>ROUND(F41+G41,2)</f>
        <v>0</v>
      </c>
      <c r="I41" s="1736">
        <f>D41*H41</f>
        <v>0</v>
      </c>
      <c r="J41" s="1737">
        <f>IF(D41&gt;0,'S2'!$BI$17,0)</f>
        <v>0</v>
      </c>
      <c r="K41" s="1738">
        <f>ROUND(H41*J41,2)</f>
        <v>0</v>
      </c>
      <c r="L41" s="1738">
        <f>D41*H41*J41</f>
        <v>0</v>
      </c>
      <c r="M41" s="1749"/>
      <c r="N41" s="1732"/>
    </row>
    <row r="42" spans="1:14" ht="19.149999999999999" customHeight="1">
      <c r="A42" s="1730"/>
      <c r="B42" s="1732" t="s">
        <v>1182</v>
      </c>
      <c r="C42" s="1728"/>
      <c r="D42" s="1751"/>
      <c r="E42" s="1734"/>
      <c r="F42" s="1735"/>
      <c r="G42" s="1735"/>
      <c r="H42" s="1736"/>
      <c r="I42" s="1736"/>
      <c r="J42" s="1737">
        <f>IF(D42&gt;0,'S2'!$BI$17,0)</f>
        <v>0</v>
      </c>
      <c r="K42" s="1738"/>
      <c r="L42" s="1738"/>
      <c r="M42" s="1749"/>
      <c r="N42" s="1732"/>
    </row>
    <row r="43" spans="1:14" ht="19.149999999999999" customHeight="1">
      <c r="A43" s="1730"/>
      <c r="B43" s="1732" t="s">
        <v>1180</v>
      </c>
      <c r="C43" s="1728"/>
      <c r="D43" s="1733">
        <v>0</v>
      </c>
      <c r="E43" s="1734" t="s">
        <v>26</v>
      </c>
      <c r="F43" s="1735">
        <f>IF(D43&lt;=0,0,+'1.ข้อมูล'!$K$197)</f>
        <v>0</v>
      </c>
      <c r="G43" s="1735">
        <f>IF(D43&lt;=0,0,+IF('1.ข้อมูล'!$E$185=5,'S2'!$BF$19,IF('1.ข้อมูล'!$E$185=4,'S2'!$BF$19*0.9,IF('1.ข้อมูล'!$E$185=3.5,'S2'!$BF$19*0.85,IF('1.ข้อมูล'!$E$185=3,'S2'!$BF$19*0.8)))))</f>
        <v>0</v>
      </c>
      <c r="H43" s="1736">
        <f>ROUND(F43+G43,2)</f>
        <v>0</v>
      </c>
      <c r="I43" s="1736">
        <f>D43*H43</f>
        <v>0</v>
      </c>
      <c r="J43" s="1737">
        <f>IF(D43&gt;0,'S2'!$BI$17,0)</f>
        <v>0</v>
      </c>
      <c r="K43" s="1738">
        <f>ROUNDDOWN(H43*J43,2)</f>
        <v>0</v>
      </c>
      <c r="L43" s="1738">
        <f>D43*H43*J43</f>
        <v>0</v>
      </c>
      <c r="M43" s="1749"/>
      <c r="N43" s="1732"/>
    </row>
    <row r="44" spans="1:14" ht="19.149999999999999" customHeight="1">
      <c r="A44" s="1730"/>
      <c r="B44" s="1731" t="s">
        <v>1181</v>
      </c>
      <c r="C44" s="1728"/>
      <c r="D44" s="1750">
        <v>0</v>
      </c>
      <c r="E44" s="1734" t="s">
        <v>26</v>
      </c>
      <c r="F44" s="1735">
        <f>IF(D44&lt;=0,0,+'1.ข้อมูล'!$K$197)</f>
        <v>0</v>
      </c>
      <c r="G44" s="1735">
        <f>IF(D44&lt;=0,0,+IF('1.ข้อมูล'!$E$185=5,'S2'!$BF$19,IF('1.ข้อมูล'!$E$185=4,'S2'!$BF$19*0.9,IF('1.ข้อมูล'!$E$185=3.5,'S2'!$BF$19*0.85,IF('1.ข้อมูล'!$E$185=3,'S2'!$BF$19*0.8)))))</f>
        <v>0</v>
      </c>
      <c r="H44" s="1736">
        <f>ROUND(F44+G44,2)</f>
        <v>0</v>
      </c>
      <c r="I44" s="1736">
        <f>D44*H44</f>
        <v>0</v>
      </c>
      <c r="J44" s="1737">
        <f>IF(D44&gt;0,'S2'!$BI$17,0)</f>
        <v>0</v>
      </c>
      <c r="K44" s="1738">
        <f>ROUNDDOWN(H44*J44,2)</f>
        <v>0</v>
      </c>
      <c r="L44" s="1738">
        <f>D44*H44*J44</f>
        <v>0</v>
      </c>
      <c r="M44" s="1749"/>
      <c r="N44" s="1732"/>
    </row>
    <row r="45" spans="1:14" ht="19.149999999999999" customHeight="1">
      <c r="A45" s="1734">
        <v>4</v>
      </c>
      <c r="B45" s="1755" t="s">
        <v>33</v>
      </c>
      <c r="C45" s="1728"/>
      <c r="D45" s="1754"/>
      <c r="E45" s="1730"/>
      <c r="F45" s="1736"/>
      <c r="G45" s="1736"/>
      <c r="H45" s="1736"/>
      <c r="I45" s="1736"/>
      <c r="J45" s="1737">
        <f>IF(D45&gt;0,'S2'!$BI$17,0)</f>
        <v>0</v>
      </c>
      <c r="K45" s="1738"/>
      <c r="L45" s="1738"/>
      <c r="M45" s="1731"/>
      <c r="N45" s="1732"/>
    </row>
    <row r="46" spans="1:14" ht="19.149999999999999" customHeight="1">
      <c r="A46" s="1730"/>
      <c r="B46" s="1731" t="s">
        <v>44</v>
      </c>
      <c r="C46" s="1728"/>
      <c r="D46" s="1750">
        <v>63.72</v>
      </c>
      <c r="E46" s="1734" t="s">
        <v>26</v>
      </c>
      <c r="F46" s="1735">
        <f t="shared" ref="F46:F47" si="20">IF(D46&lt;=0,0,)</f>
        <v>0</v>
      </c>
      <c r="G46" s="1735">
        <f>IF(D46&lt;=0,0,)</f>
        <v>0</v>
      </c>
      <c r="H46" s="1756">
        <v>280</v>
      </c>
      <c r="I46" s="1736">
        <f>D46*H46</f>
        <v>17841.599999999999</v>
      </c>
      <c r="J46" s="1737">
        <f>J12</f>
        <v>1.3642000000000001</v>
      </c>
      <c r="K46" s="1738">
        <f>ROUNDDOWN(H46*J46,2)</f>
        <v>381.97</v>
      </c>
      <c r="L46" s="1738">
        <f t="shared" si="3"/>
        <v>24339.510719999998</v>
      </c>
      <c r="M46" s="1944"/>
      <c r="N46" s="1945"/>
    </row>
    <row r="47" spans="1:14" ht="19.149999999999999" customHeight="1">
      <c r="A47" s="1730"/>
      <c r="B47" s="1757" t="s">
        <v>237</v>
      </c>
      <c r="C47" s="1728"/>
      <c r="D47" s="1750">
        <v>0</v>
      </c>
      <c r="E47" s="1734" t="s">
        <v>26</v>
      </c>
      <c r="F47" s="1735">
        <f t="shared" si="20"/>
        <v>0</v>
      </c>
      <c r="G47" s="1735">
        <f>IF(D47&lt;=0,0,)</f>
        <v>0</v>
      </c>
      <c r="H47" s="1756">
        <v>0</v>
      </c>
      <c r="I47" s="1736">
        <f>D47*H47</f>
        <v>0</v>
      </c>
      <c r="J47" s="1758">
        <v>0</v>
      </c>
      <c r="K47" s="1738">
        <f>ROUND(H47*J47,2)</f>
        <v>0</v>
      </c>
      <c r="L47" s="1738">
        <f t="shared" si="3"/>
        <v>0</v>
      </c>
      <c r="M47" s="1731"/>
      <c r="N47" s="1732"/>
    </row>
    <row r="48" spans="1:14" ht="19.149999999999999" customHeight="1">
      <c r="A48" s="1730"/>
      <c r="B48" s="1757" t="s">
        <v>238</v>
      </c>
      <c r="C48" s="1728"/>
      <c r="D48" s="1733">
        <v>0</v>
      </c>
      <c r="E48" s="1759" t="s">
        <v>120</v>
      </c>
      <c r="F48" s="1735">
        <f>H48</f>
        <v>0</v>
      </c>
      <c r="G48" s="1735">
        <f>IF(D48&lt;=0,0,)</f>
        <v>0</v>
      </c>
      <c r="H48" s="1756">
        <f>ROUND(IF(D48&lt;=0,0,2510),2)</f>
        <v>0</v>
      </c>
      <c r="I48" s="1736">
        <f>D48*H48</f>
        <v>0</v>
      </c>
      <c r="J48" s="1737">
        <f>IF(D48&gt;0,'S2'!$BI$17,0)</f>
        <v>0</v>
      </c>
      <c r="K48" s="1738">
        <f>ROUND(H48*J48,2)</f>
        <v>0</v>
      </c>
      <c r="L48" s="1738">
        <f t="shared" si="3"/>
        <v>0</v>
      </c>
      <c r="M48" s="1731"/>
      <c r="N48" s="1732"/>
    </row>
    <row r="49" spans="1:14" ht="19.149999999999999" customHeight="1">
      <c r="A49" s="1734">
        <v>5</v>
      </c>
      <c r="B49" s="1755" t="s">
        <v>34</v>
      </c>
      <c r="C49" s="1728"/>
      <c r="D49" s="1760"/>
      <c r="E49" s="1730"/>
      <c r="F49" s="1736"/>
      <c r="G49" s="1736"/>
      <c r="H49" s="1736"/>
      <c r="I49" s="1736"/>
      <c r="J49" s="1737">
        <f>IF(D49&gt;0,'S2'!$BI$17,0)</f>
        <v>0</v>
      </c>
      <c r="K49" s="1738"/>
      <c r="L49" s="1738"/>
      <c r="M49" s="1731"/>
      <c r="N49" s="1732"/>
    </row>
    <row r="50" spans="1:14" ht="19.149999999999999" customHeight="1">
      <c r="A50" s="1730"/>
      <c r="B50" s="1731" t="s">
        <v>46</v>
      </c>
      <c r="C50" s="1728"/>
      <c r="D50" s="1751"/>
      <c r="E50" s="1734"/>
      <c r="F50" s="1736"/>
      <c r="G50" s="1736"/>
      <c r="H50" s="1736"/>
      <c r="I50" s="1736"/>
      <c r="J50" s="1737">
        <f>IF(D50&gt;0,'S2'!$BI$17,0)</f>
        <v>0</v>
      </c>
      <c r="K50" s="1738"/>
      <c r="L50" s="1738"/>
      <c r="M50" s="1731"/>
      <c r="N50" s="1732"/>
    </row>
    <row r="51" spans="1:14" ht="19.149999999999999" customHeight="1">
      <c r="A51" s="1730"/>
      <c r="B51" s="1761" t="s">
        <v>122</v>
      </c>
      <c r="C51" s="1728"/>
      <c r="D51" s="1762"/>
      <c r="E51" s="1759" t="s">
        <v>36</v>
      </c>
      <c r="F51" s="1735">
        <f>IF(D51&lt;=0,0,90)</f>
        <v>0</v>
      </c>
      <c r="G51" s="1735">
        <f>IF(D51&lt;=0,0,20)</f>
        <v>0</v>
      </c>
      <c r="H51" s="1736">
        <f>ROUND(F51+G51,2)</f>
        <v>0</v>
      </c>
      <c r="I51" s="1736">
        <f>D51*H51</f>
        <v>0</v>
      </c>
      <c r="J51" s="1737">
        <f>IF(D51&gt;0,'S2'!$BI$17,0)</f>
        <v>0</v>
      </c>
      <c r="K51" s="1738">
        <f>ROUND(H51*J51,2)</f>
        <v>0</v>
      </c>
      <c r="L51" s="1738">
        <f>D51*H51*J51</f>
        <v>0</v>
      </c>
      <c r="M51" s="1731"/>
      <c r="N51" s="1732"/>
    </row>
    <row r="52" spans="1:14" ht="19.149999999999999" customHeight="1">
      <c r="A52" s="1730"/>
      <c r="B52" s="1761" t="s">
        <v>123</v>
      </c>
      <c r="C52" s="1728"/>
      <c r="D52" s="1763"/>
      <c r="E52" s="1759" t="s">
        <v>36</v>
      </c>
      <c r="F52" s="1735">
        <f>IF(D52&lt;=0,0,325)</f>
        <v>0</v>
      </c>
      <c r="G52" s="1735">
        <f>IF(D52&lt;=0,0,75)</f>
        <v>0</v>
      </c>
      <c r="H52" s="1736">
        <f>ROUND(F52+G52,2)</f>
        <v>0</v>
      </c>
      <c r="I52" s="1736">
        <f>D52*H52</f>
        <v>0</v>
      </c>
      <c r="J52" s="1737">
        <f>IF(D52&gt;0,'S2'!$BI$17,0)</f>
        <v>0</v>
      </c>
      <c r="K52" s="1738">
        <f>ROUND(H52*J52,2)</f>
        <v>0</v>
      </c>
      <c r="L52" s="1738">
        <f>D52*H52*J52</f>
        <v>0</v>
      </c>
      <c r="M52" s="1731"/>
      <c r="N52" s="1732"/>
    </row>
    <row r="53" spans="1:14" ht="19.149999999999999" customHeight="1">
      <c r="A53" s="1730"/>
      <c r="B53" s="1761" t="s">
        <v>129</v>
      </c>
      <c r="C53" s="1728"/>
      <c r="D53" s="1762"/>
      <c r="E53" s="1759" t="s">
        <v>35</v>
      </c>
      <c r="F53" s="1735">
        <f>IF(D53&lt;=0,0,)</f>
        <v>0</v>
      </c>
      <c r="G53" s="1735">
        <f>IF(D53&lt;=0,0,)</f>
        <v>0</v>
      </c>
      <c r="H53" s="1735">
        <f>ROUND(IF(D53&lt;=0,0,200),2)</f>
        <v>0</v>
      </c>
      <c r="I53" s="1736">
        <f>D53*H53</f>
        <v>0</v>
      </c>
      <c r="J53" s="1737">
        <f>IF(D53&gt;0,'S2'!$BI$17,0)</f>
        <v>0</v>
      </c>
      <c r="K53" s="1738">
        <f>ROUND(H53*J53,2)</f>
        <v>0</v>
      </c>
      <c r="L53" s="1738">
        <f>D53*H53*J53</f>
        <v>0</v>
      </c>
      <c r="M53" s="1731"/>
      <c r="N53" s="1732"/>
    </row>
    <row r="54" spans="1:14" ht="19.149999999999999" customHeight="1">
      <c r="A54" s="1730"/>
      <c r="B54" s="1761" t="s">
        <v>130</v>
      </c>
      <c r="C54" s="1728"/>
      <c r="D54" s="1762"/>
      <c r="E54" s="1759" t="s">
        <v>45</v>
      </c>
      <c r="F54" s="1735">
        <f>IF(D54&lt;=0,0,)</f>
        <v>0</v>
      </c>
      <c r="G54" s="1735">
        <f>IF(D54&lt;=0,0,)</f>
        <v>0</v>
      </c>
      <c r="H54" s="1735">
        <f>ROUND(IF(D54&lt;=0,0,100),2)</f>
        <v>0</v>
      </c>
      <c r="I54" s="1736">
        <f>D54*H54</f>
        <v>0</v>
      </c>
      <c r="J54" s="1737">
        <f>IF(D54&gt;0,'S2'!$BI$17,0)</f>
        <v>0</v>
      </c>
      <c r="K54" s="1738">
        <f>ROUND(H54*J54,2)</f>
        <v>0</v>
      </c>
      <c r="L54" s="1738">
        <f>D54*H54*J54</f>
        <v>0</v>
      </c>
      <c r="M54" s="1731"/>
      <c r="N54" s="1732"/>
    </row>
    <row r="55" spans="1:14" ht="19.149999999999999" customHeight="1">
      <c r="A55" s="1730"/>
      <c r="B55" s="1761" t="s">
        <v>47</v>
      </c>
      <c r="C55" s="1728"/>
      <c r="D55" s="1764"/>
      <c r="E55" s="1734"/>
      <c r="F55" s="1765"/>
      <c r="G55" s="1765"/>
      <c r="H55" s="1736"/>
      <c r="I55" s="1736"/>
      <c r="J55" s="1737">
        <f>IF(D55&gt;0,'S2'!$BI$17,0)</f>
        <v>0</v>
      </c>
      <c r="K55" s="1738"/>
      <c r="L55" s="1738"/>
      <c r="M55" s="1731"/>
      <c r="N55" s="1732"/>
    </row>
    <row r="56" spans="1:14" ht="19.149999999999999" customHeight="1">
      <c r="A56" s="1730"/>
      <c r="B56" s="1761" t="s">
        <v>124</v>
      </c>
      <c r="C56" s="1728"/>
      <c r="D56" s="1763"/>
      <c r="E56" s="1759" t="s">
        <v>35</v>
      </c>
      <c r="F56" s="1735">
        <f t="shared" ref="F56:F58" si="21">IF(D56&lt;=0,0,)</f>
        <v>0</v>
      </c>
      <c r="G56" s="1735">
        <f t="shared" ref="G56:G59" si="22">IF(D56&lt;=0,0,)</f>
        <v>0</v>
      </c>
      <c r="H56" s="1756">
        <f>ROUND(IF(D56&lt;=0,0,11740),2)</f>
        <v>0</v>
      </c>
      <c r="I56" s="1736">
        <f t="shared" ref="I56:I59" si="23">D56*H56</f>
        <v>0</v>
      </c>
      <c r="J56" s="1737">
        <f>IF(D56&gt;0,'S2'!$BI$17,0)</f>
        <v>0</v>
      </c>
      <c r="K56" s="1738">
        <f t="shared" ref="K56:K59" si="24">ROUND(H56*J56,2)</f>
        <v>0</v>
      </c>
      <c r="L56" s="1738">
        <f t="shared" ref="L56:L60" si="25">D56*H56*J56</f>
        <v>0</v>
      </c>
      <c r="M56" s="1935"/>
      <c r="N56" s="1936"/>
    </row>
    <row r="57" spans="1:14" ht="19.149999999999999" customHeight="1">
      <c r="A57" s="1730"/>
      <c r="B57" s="1766" t="s">
        <v>125</v>
      </c>
      <c r="C57" s="1728"/>
      <c r="D57" s="1767"/>
      <c r="E57" s="1759" t="s">
        <v>35</v>
      </c>
      <c r="F57" s="1735">
        <f t="shared" si="21"/>
        <v>0</v>
      </c>
      <c r="G57" s="1735">
        <f t="shared" si="22"/>
        <v>0</v>
      </c>
      <c r="H57" s="1756">
        <f>ROUND(IF(D57&lt;=0,0,4330),2)</f>
        <v>0</v>
      </c>
      <c r="I57" s="1736">
        <f t="shared" si="23"/>
        <v>0</v>
      </c>
      <c r="J57" s="1737">
        <f>IF(D57&gt;0,'S2'!$BI$17,0)</f>
        <v>0</v>
      </c>
      <c r="K57" s="1738">
        <f t="shared" si="24"/>
        <v>0</v>
      </c>
      <c r="L57" s="1738">
        <f t="shared" si="25"/>
        <v>0</v>
      </c>
      <c r="M57" s="1935"/>
      <c r="N57" s="1936"/>
    </row>
    <row r="58" spans="1:14" ht="19.149999999999999" customHeight="1">
      <c r="A58" s="1730"/>
      <c r="B58" s="1768" t="s">
        <v>126</v>
      </c>
      <c r="C58" s="1728"/>
      <c r="D58" s="1763"/>
      <c r="E58" s="1759" t="s">
        <v>35</v>
      </c>
      <c r="F58" s="1735">
        <f t="shared" si="21"/>
        <v>0</v>
      </c>
      <c r="G58" s="1735">
        <f t="shared" si="22"/>
        <v>0</v>
      </c>
      <c r="H58" s="1756">
        <f>ROUND(IF(D58&lt;=0,0,2580),2)</f>
        <v>0</v>
      </c>
      <c r="I58" s="1736">
        <f t="shared" si="23"/>
        <v>0</v>
      </c>
      <c r="J58" s="1737">
        <f>IF(D58&gt;0,'S2'!$BI$17,0)</f>
        <v>0</v>
      </c>
      <c r="K58" s="1738">
        <f t="shared" si="24"/>
        <v>0</v>
      </c>
      <c r="L58" s="1738">
        <f t="shared" si="25"/>
        <v>0</v>
      </c>
      <c r="M58" s="1731"/>
      <c r="N58" s="1732"/>
    </row>
    <row r="59" spans="1:14" ht="19.149999999999999" customHeight="1">
      <c r="A59" s="1730"/>
      <c r="B59" s="1766" t="s">
        <v>127</v>
      </c>
      <c r="C59" s="1728"/>
      <c r="D59" s="1763"/>
      <c r="E59" s="1759" t="s">
        <v>35</v>
      </c>
      <c r="F59" s="1735">
        <f>H59</f>
        <v>0</v>
      </c>
      <c r="G59" s="1735">
        <f t="shared" si="22"/>
        <v>0</v>
      </c>
      <c r="H59" s="1756">
        <f>ROUND(IF(D59&lt;=0,0,2940),2)</f>
        <v>0</v>
      </c>
      <c r="I59" s="1736">
        <f t="shared" si="23"/>
        <v>0</v>
      </c>
      <c r="J59" s="1737">
        <f>IF(D59&gt;0,'S2'!$BI$17,0)</f>
        <v>0</v>
      </c>
      <c r="K59" s="1738">
        <f t="shared" si="24"/>
        <v>0</v>
      </c>
      <c r="L59" s="1738">
        <f t="shared" si="25"/>
        <v>0</v>
      </c>
      <c r="M59" s="1749"/>
      <c r="N59" s="1732"/>
    </row>
    <row r="60" spans="1:14" ht="19.149999999999999" customHeight="1">
      <c r="A60" s="1730"/>
      <c r="B60" s="1766" t="s">
        <v>294</v>
      </c>
      <c r="C60" s="1728"/>
      <c r="D60" s="1763"/>
      <c r="E60" s="1759" t="s">
        <v>35</v>
      </c>
      <c r="F60" s="1735">
        <f>H60</f>
        <v>0</v>
      </c>
      <c r="G60" s="1735">
        <f t="shared" ref="G60" si="26">IF(D60&lt;=0,0,)</f>
        <v>0</v>
      </c>
      <c r="H60" s="1756">
        <f>ROUND(IF(D60&lt;=0,0,3170),2)</f>
        <v>0</v>
      </c>
      <c r="I60" s="1736">
        <f t="shared" ref="I60" si="27">D60*H60</f>
        <v>0</v>
      </c>
      <c r="J60" s="1737">
        <f>IF(D60&gt;0,'S2'!$BI$17,0)</f>
        <v>0</v>
      </c>
      <c r="K60" s="1738">
        <f t="shared" ref="K60" si="28">ROUND(H60*J60,2)</f>
        <v>0</v>
      </c>
      <c r="L60" s="1738">
        <f t="shared" si="25"/>
        <v>0</v>
      </c>
      <c r="M60" s="1749"/>
      <c r="N60" s="1732"/>
    </row>
    <row r="61" spans="1:14" ht="19.149999999999999" customHeight="1">
      <c r="A61" s="1730"/>
      <c r="B61" s="1766" t="s">
        <v>271</v>
      </c>
      <c r="C61" s="1728"/>
      <c r="D61" s="1763"/>
      <c r="E61" s="1759" t="s">
        <v>35</v>
      </c>
      <c r="F61" s="1735">
        <f t="shared" ref="F61" si="29">IF(D61&lt;=0,0,)</f>
        <v>0</v>
      </c>
      <c r="G61" s="1735">
        <f t="shared" ref="G61" si="30">IF(D61&lt;=0,0,)</f>
        <v>0</v>
      </c>
      <c r="H61" s="1756">
        <f>ROUND(IF(D61&lt;=0,0,4330),2)</f>
        <v>0</v>
      </c>
      <c r="I61" s="1736">
        <f t="shared" ref="I61" si="31">D61*H61</f>
        <v>0</v>
      </c>
      <c r="J61" s="1737">
        <f>IF(D61&gt;0,'S2'!$BI$17,0)</f>
        <v>0</v>
      </c>
      <c r="K61" s="1738">
        <f t="shared" ref="K61" si="32">ROUND(H61*J61,2)</f>
        <v>0</v>
      </c>
      <c r="L61" s="1738">
        <f t="shared" ref="L61" si="33">D61*H61*J61</f>
        <v>0</v>
      </c>
      <c r="M61" s="1749"/>
      <c r="N61" s="1732"/>
    </row>
    <row r="62" spans="1:14" ht="19.149999999999999" customHeight="1">
      <c r="A62" s="1769"/>
      <c r="B62" s="1770"/>
      <c r="C62" s="1771" t="s">
        <v>145</v>
      </c>
      <c r="D62" s="1772"/>
      <c r="E62" s="1772"/>
      <c r="F62" s="1772"/>
      <c r="G62" s="1772"/>
      <c r="H62" s="1772"/>
      <c r="I62" s="1773">
        <f>SUM(I11:I61)</f>
        <v>448310.91738066095</v>
      </c>
      <c r="J62" s="1774"/>
      <c r="K62" s="1774"/>
      <c r="L62" s="1773">
        <f>SUM(L12:L50)</f>
        <v>611585.75349069771</v>
      </c>
      <c r="M62" s="1770"/>
      <c r="N62" s="1775"/>
    </row>
    <row r="63" spans="1:14" ht="19.149999999999999" customHeight="1">
      <c r="A63" s="1915"/>
      <c r="B63" s="1915"/>
      <c r="C63" s="1915"/>
      <c r="D63" s="1915"/>
      <c r="E63" s="1915"/>
      <c r="F63" s="1915"/>
      <c r="G63" s="1915"/>
      <c r="H63" s="1915"/>
      <c r="I63" s="1915"/>
      <c r="J63" s="1915"/>
      <c r="K63" s="1915"/>
      <c r="L63" s="1915"/>
      <c r="M63" s="1915"/>
      <c r="N63" s="1915"/>
    </row>
    <row r="64" spans="1:14" ht="19.149999999999999" customHeight="1">
      <c r="A64" s="1776"/>
      <c r="B64" s="1776"/>
      <c r="C64" s="1776"/>
      <c r="D64" s="1776"/>
      <c r="E64" s="1776"/>
      <c r="F64" s="1776"/>
      <c r="G64" s="1776"/>
      <c r="H64" s="1776"/>
      <c r="I64" s="1776"/>
      <c r="J64" s="1776"/>
      <c r="K64" s="1776"/>
      <c r="L64" s="1776"/>
      <c r="M64" s="1776"/>
      <c r="N64" s="1776"/>
    </row>
    <row r="65" spans="1:14" ht="19.149999999999999" customHeight="1">
      <c r="A65" s="1915" t="str">
        <f>A1</f>
        <v xml:space="preserve">แบบกำนดราคากลางงานก่อสร้างทาง </v>
      </c>
      <c r="B65" s="1915"/>
      <c r="C65" s="1915"/>
      <c r="D65" s="1915"/>
      <c r="E65" s="1915"/>
      <c r="F65" s="1915"/>
      <c r="G65" s="1915"/>
      <c r="H65" s="1915"/>
      <c r="I65" s="1915"/>
      <c r="J65" s="1915"/>
      <c r="K65" s="1915"/>
      <c r="L65" s="1915"/>
      <c r="M65" s="1915"/>
      <c r="N65" s="1915"/>
    </row>
    <row r="66" spans="1:14" ht="23.25" customHeight="1">
      <c r="A66" s="1708"/>
      <c r="B66" s="1708"/>
      <c r="C66" s="1708"/>
      <c r="D66" s="1708"/>
      <c r="E66" s="1708"/>
      <c r="F66" s="1708"/>
      <c r="G66" s="1946" t="s">
        <v>1324</v>
      </c>
      <c r="H66" s="1946"/>
      <c r="I66" s="1708"/>
      <c r="J66" s="1708"/>
      <c r="K66" s="1708"/>
      <c r="L66" s="1708"/>
      <c r="M66" s="1708"/>
      <c r="N66" s="1709" t="s">
        <v>1329</v>
      </c>
    </row>
    <row r="67" spans="1:14" ht="19.149999999999999" customHeight="1">
      <c r="A67" s="1710" t="s">
        <v>1322</v>
      </c>
      <c r="C67" s="1926" t="str">
        <f>C3</f>
        <v xml:space="preserve">ปรับปรุงถนนคอนกรีตเสริมเหล็กโดยวิธีลาดยางแอสฟัลท์ติกคอนกรีต รหัสทางหลวงท้องถิ่น ขก.ถ. 166-12 สายจากทางหลวงหมายเลข 2233 ถึงบ้านนางละม้าย ทองบัวบาน หมู่ที่ 11 บ้านเพ็กใหญ่พัฒนา </v>
      </c>
      <c r="D67" s="1926"/>
      <c r="E67" s="1926"/>
      <c r="F67" s="1926"/>
      <c r="G67" s="1926"/>
      <c r="H67" s="1926"/>
      <c r="I67" s="1926"/>
      <c r="J67" s="1926"/>
      <c r="K67" s="1926"/>
      <c r="L67" s="1926"/>
      <c r="M67" s="1926"/>
      <c r="N67" s="1926"/>
    </row>
    <row r="68" spans="1:14" ht="19.149999999999999" customHeight="1">
      <c r="A68" s="1710"/>
      <c r="C68" s="1926" t="str">
        <f>C4</f>
        <v>ตำบลเพ็กใหญ่ กว้าง 5 เมตร ยาว 268 เมตร หนาเฉลี่ย 0.05 เมตร หรือมีพื้นที่ไม่น้อยกว่า 1,340 ตารางเมตร องค์การบริหารส่วนตำบลเพ็กใหญ่ อำเภอพล จังหวัดขอนแก่น</v>
      </c>
      <c r="D68" s="1926"/>
      <c r="E68" s="1926"/>
      <c r="F68" s="1926"/>
      <c r="G68" s="1926"/>
      <c r="H68" s="1926"/>
      <c r="I68" s="1926"/>
      <c r="J68" s="1926"/>
      <c r="K68" s="1926"/>
      <c r="L68" s="1926"/>
      <c r="M68" s="1926"/>
      <c r="N68" s="1926"/>
    </row>
    <row r="69" spans="1:14" ht="19.149999999999999" customHeight="1">
      <c r="A69" s="1710" t="s">
        <v>1327</v>
      </c>
      <c r="B69" s="1615"/>
      <c r="C69" s="1926" t="str">
        <f>C5</f>
        <v xml:space="preserve">ปรับปรุงถนนคอนกรีตเสริมเหล็กโดยวิธีลาดยางแอสฟัลท์ติกคอนกรีต กว้าง 5.00เมตร ยาว 268 เมตร หนาเฉลี่ย 0.05 เมตร หรือมีพื้นที่ดำเนินการไม่น้อยกว่า 951 ตารางเมตร พร้อมติดตั้งป้ายโครงการ </v>
      </c>
      <c r="D69" s="1926"/>
      <c r="E69" s="1926"/>
      <c r="F69" s="1926"/>
      <c r="G69" s="1926"/>
      <c r="H69" s="1926"/>
      <c r="I69" s="1926"/>
      <c r="J69" s="1926"/>
      <c r="K69" s="1926"/>
      <c r="L69" s="1926"/>
      <c r="M69" s="1926"/>
      <c r="N69" s="1926"/>
    </row>
    <row r="70" spans="1:14" ht="19.149999999999999" customHeight="1">
      <c r="A70" s="1710" t="s">
        <v>1328</v>
      </c>
      <c r="C70" s="1618" t="str">
        <f>C6</f>
        <v>บ้านเพ็กใหญ่พัฒนา หมู่ที่ 11 ตำบลเพ็กใหญ่ อำเภอพล จังหวัดขอนแก่น</v>
      </c>
      <c r="E70" s="1710"/>
      <c r="G70" s="1711" t="s">
        <v>263</v>
      </c>
      <c r="H70" s="1712">
        <f>H6</f>
        <v>0.26800000000000002</v>
      </c>
      <c r="I70" s="1713" t="s">
        <v>1203</v>
      </c>
      <c r="L70" s="1714"/>
      <c r="M70" s="1713"/>
      <c r="N70" s="1619"/>
    </row>
    <row r="71" spans="1:14" ht="10.15" customHeight="1">
      <c r="B71" s="1615"/>
      <c r="L71" s="1714"/>
      <c r="M71" s="1713"/>
      <c r="N71" s="1619"/>
    </row>
    <row r="72" spans="1:14" ht="19.149999999999999" customHeight="1">
      <c r="A72" s="1916" t="s">
        <v>0</v>
      </c>
      <c r="B72" s="1918" t="s">
        <v>38</v>
      </c>
      <c r="C72" s="1919"/>
      <c r="D72" s="1916" t="s">
        <v>17</v>
      </c>
      <c r="E72" s="1916" t="s">
        <v>18</v>
      </c>
      <c r="F72" s="1922" t="s">
        <v>19</v>
      </c>
      <c r="G72" s="1923"/>
      <c r="H72" s="1924"/>
      <c r="I72" s="1777" t="s">
        <v>20</v>
      </c>
      <c r="J72" s="1925" t="s">
        <v>2</v>
      </c>
      <c r="K72" s="1922" t="s">
        <v>1430</v>
      </c>
      <c r="L72" s="1923"/>
      <c r="M72" s="1918" t="s">
        <v>15</v>
      </c>
      <c r="N72" s="1919"/>
    </row>
    <row r="73" spans="1:14" ht="19.149999999999999" customHeight="1">
      <c r="A73" s="1917"/>
      <c r="B73" s="1920"/>
      <c r="C73" s="1921"/>
      <c r="D73" s="1917"/>
      <c r="E73" s="1917"/>
      <c r="F73" s="1719" t="s">
        <v>21</v>
      </c>
      <c r="G73" s="1719" t="s">
        <v>22</v>
      </c>
      <c r="H73" s="1719" t="s">
        <v>23</v>
      </c>
      <c r="I73" s="1778" t="s">
        <v>24</v>
      </c>
      <c r="J73" s="1925"/>
      <c r="K73" s="1719" t="s">
        <v>279</v>
      </c>
      <c r="L73" s="1721" t="s">
        <v>23</v>
      </c>
      <c r="M73" s="1920"/>
      <c r="N73" s="1921"/>
    </row>
    <row r="74" spans="1:14" ht="19.149999999999999" customHeight="1">
      <c r="A74" s="1779"/>
      <c r="B74" s="1780"/>
      <c r="C74" s="1781" t="s">
        <v>146</v>
      </c>
      <c r="D74" s="1779"/>
      <c r="E74" s="1779"/>
      <c r="F74" s="1779"/>
      <c r="G74" s="1779"/>
      <c r="H74" s="1779"/>
      <c r="I74" s="1782">
        <f>I62</f>
        <v>448310.91738066095</v>
      </c>
      <c r="J74" s="1783"/>
      <c r="K74" s="1783"/>
      <c r="L74" s="1782">
        <f>L62</f>
        <v>611585.75349069771</v>
      </c>
      <c r="M74" s="1780"/>
      <c r="N74" s="1784"/>
    </row>
    <row r="75" spans="1:14" ht="19.149999999999999" customHeight="1">
      <c r="A75" s="1785"/>
      <c r="B75" s="1766" t="s">
        <v>266</v>
      </c>
      <c r="C75" s="1728"/>
      <c r="D75" s="1763"/>
      <c r="E75" s="1759" t="s">
        <v>35</v>
      </c>
      <c r="F75" s="1735">
        <f t="shared" ref="F75:F77" si="34">IF(D75&lt;=0,0,)</f>
        <v>0</v>
      </c>
      <c r="G75" s="1735">
        <f t="shared" ref="G75:G77" si="35">IF(D75&lt;=0,0,)</f>
        <v>0</v>
      </c>
      <c r="H75" s="1756">
        <f>ROUND(IF(D75&lt;=0,0,5200),2)</f>
        <v>0</v>
      </c>
      <c r="I75" s="1736">
        <f t="shared" ref="I75:I77" si="36">D75*H75</f>
        <v>0</v>
      </c>
      <c r="J75" s="1737">
        <f>IF(D75&gt;0,'S2'!$BI$17,0)</f>
        <v>0</v>
      </c>
      <c r="K75" s="1738">
        <f t="shared" ref="K75:K77" si="37">ROUND(H75*J75,2)</f>
        <v>0</v>
      </c>
      <c r="L75" s="1738">
        <f t="shared" ref="L75:L77" si="38">D75*H75*J75</f>
        <v>0</v>
      </c>
      <c r="M75" s="1786"/>
      <c r="N75" s="1787"/>
    </row>
    <row r="76" spans="1:14" ht="19.149999999999999" customHeight="1">
      <c r="A76" s="1785"/>
      <c r="B76" s="1766" t="s">
        <v>1399</v>
      </c>
      <c r="C76" s="1728"/>
      <c r="D76" s="1763"/>
      <c r="E76" s="1759" t="s">
        <v>35</v>
      </c>
      <c r="F76" s="1735">
        <f t="shared" si="34"/>
        <v>0</v>
      </c>
      <c r="G76" s="1735">
        <f t="shared" si="35"/>
        <v>0</v>
      </c>
      <c r="H76" s="1756">
        <f>ROUND(IF(D76&lt;=0,0,4890),2)</f>
        <v>0</v>
      </c>
      <c r="I76" s="1736">
        <f t="shared" si="36"/>
        <v>0</v>
      </c>
      <c r="J76" s="1737">
        <f>IF(D76&gt;0,'S2'!$BI$17,0)</f>
        <v>0</v>
      </c>
      <c r="K76" s="1738">
        <f t="shared" si="37"/>
        <v>0</v>
      </c>
      <c r="L76" s="1738">
        <f t="shared" si="38"/>
        <v>0</v>
      </c>
      <c r="M76" s="1786"/>
      <c r="N76" s="1787"/>
    </row>
    <row r="77" spans="1:14" ht="19.149999999999999" customHeight="1">
      <c r="A77" s="1785"/>
      <c r="B77" s="1766" t="s">
        <v>267</v>
      </c>
      <c r="C77" s="1728"/>
      <c r="D77" s="1762"/>
      <c r="E77" s="1759" t="s">
        <v>35</v>
      </c>
      <c r="F77" s="1735">
        <f t="shared" si="34"/>
        <v>0</v>
      </c>
      <c r="G77" s="1735">
        <f t="shared" si="35"/>
        <v>0</v>
      </c>
      <c r="H77" s="1756">
        <f>ROUND(IF(D77&lt;=0,0,4210),2)</f>
        <v>0</v>
      </c>
      <c r="I77" s="1736">
        <f t="shared" si="36"/>
        <v>0</v>
      </c>
      <c r="J77" s="1737">
        <f>IF(D77&gt;0,'S2'!$BI$17,0)</f>
        <v>0</v>
      </c>
      <c r="K77" s="1738">
        <f t="shared" si="37"/>
        <v>0</v>
      </c>
      <c r="L77" s="1738">
        <f t="shared" si="38"/>
        <v>0</v>
      </c>
      <c r="M77" s="1786"/>
      <c r="N77" s="1787"/>
    </row>
    <row r="78" spans="1:14" ht="19.149999999999999" customHeight="1">
      <c r="A78" s="1785"/>
      <c r="B78" s="1766" t="s">
        <v>268</v>
      </c>
      <c r="C78" s="1728"/>
      <c r="D78" s="1763"/>
      <c r="E78" s="1759" t="s">
        <v>35</v>
      </c>
      <c r="F78" s="1735">
        <f t="shared" ref="F78" si="39">IF(D78&lt;=0,0,)</f>
        <v>0</v>
      </c>
      <c r="G78" s="1735">
        <f t="shared" ref="G78" si="40">IF(D78&lt;=0,0,)</f>
        <v>0</v>
      </c>
      <c r="H78" s="1756">
        <f>ROUND(IF(D78&lt;=0,0,6550),2)</f>
        <v>0</v>
      </c>
      <c r="I78" s="1736">
        <f t="shared" ref="I78" si="41">D78*H78</f>
        <v>0</v>
      </c>
      <c r="J78" s="1737">
        <f>IF(D78&gt;0,'S2'!$BI$17,0)</f>
        <v>0</v>
      </c>
      <c r="K78" s="1738">
        <f t="shared" ref="K78" si="42">ROUND(H78*J78,2)</f>
        <v>0</v>
      </c>
      <c r="L78" s="1738">
        <f t="shared" ref="L78" si="43">D78*H78*J78</f>
        <v>0</v>
      </c>
      <c r="M78" s="1786"/>
      <c r="N78" s="1787"/>
    </row>
    <row r="79" spans="1:14" ht="19.149999999999999" customHeight="1">
      <c r="A79" s="1785"/>
      <c r="B79" s="1766" t="s">
        <v>269</v>
      </c>
      <c r="C79" s="1728"/>
      <c r="D79" s="1762"/>
      <c r="E79" s="1759" t="s">
        <v>35</v>
      </c>
      <c r="F79" s="1735">
        <f t="shared" ref="F79:F82" si="44">IF(D79&lt;=0,0,)</f>
        <v>0</v>
      </c>
      <c r="G79" s="1735">
        <f t="shared" ref="G79:G82" si="45">IF(D79&lt;=0,0,)</f>
        <v>0</v>
      </c>
      <c r="H79" s="1756">
        <f>ROUND(IF(D79&lt;=0,0,5320),2)</f>
        <v>0</v>
      </c>
      <c r="I79" s="1736">
        <f t="shared" ref="I79:I82" si="46">D79*H79</f>
        <v>0</v>
      </c>
      <c r="J79" s="1737">
        <f>IF(D79&gt;0,'S2'!$BI$17,0)</f>
        <v>0</v>
      </c>
      <c r="K79" s="1738">
        <f t="shared" ref="K79:K82" si="47">ROUND(H79*J79,2)</f>
        <v>0</v>
      </c>
      <c r="L79" s="1738">
        <f t="shared" ref="L79:L82" si="48">D79*H79*J79</f>
        <v>0</v>
      </c>
      <c r="M79" s="1935"/>
      <c r="N79" s="1936"/>
    </row>
    <row r="80" spans="1:14" ht="19.149999999999999" customHeight="1">
      <c r="A80" s="1785"/>
      <c r="B80" s="1766" t="s">
        <v>270</v>
      </c>
      <c r="C80" s="1728"/>
      <c r="D80" s="1762"/>
      <c r="E80" s="1759" t="s">
        <v>35</v>
      </c>
      <c r="F80" s="1735">
        <f t="shared" si="44"/>
        <v>0</v>
      </c>
      <c r="G80" s="1735">
        <f t="shared" si="45"/>
        <v>0</v>
      </c>
      <c r="H80" s="1756">
        <f>ROUND(IF(D80&lt;=0,0,6550),2)</f>
        <v>0</v>
      </c>
      <c r="I80" s="1736">
        <f t="shared" si="46"/>
        <v>0</v>
      </c>
      <c r="J80" s="1737">
        <f>IF(D80&gt;0,'S2'!$BI$17,0)</f>
        <v>0</v>
      </c>
      <c r="K80" s="1738">
        <f t="shared" si="47"/>
        <v>0</v>
      </c>
      <c r="L80" s="1738">
        <f t="shared" si="48"/>
        <v>0</v>
      </c>
      <c r="M80" s="1935"/>
      <c r="N80" s="1936"/>
    </row>
    <row r="81" spans="1:14" ht="19.149999999999999" customHeight="1">
      <c r="A81" s="1785"/>
      <c r="B81" s="1766" t="s">
        <v>213</v>
      </c>
      <c r="C81" s="1728"/>
      <c r="D81" s="1762"/>
      <c r="E81" s="1759" t="s">
        <v>35</v>
      </c>
      <c r="F81" s="1735">
        <f t="shared" si="44"/>
        <v>0</v>
      </c>
      <c r="G81" s="1735">
        <f t="shared" si="45"/>
        <v>0</v>
      </c>
      <c r="H81" s="1756">
        <f>ROUND(IF(D81&lt;=0,0,4210),2)</f>
        <v>0</v>
      </c>
      <c r="I81" s="1736">
        <f t="shared" si="46"/>
        <v>0</v>
      </c>
      <c r="J81" s="1737">
        <f>IF(D81&gt;0,'S2'!$BI$17,0)</f>
        <v>0</v>
      </c>
      <c r="K81" s="1738">
        <f t="shared" si="47"/>
        <v>0</v>
      </c>
      <c r="L81" s="1738">
        <f t="shared" si="48"/>
        <v>0</v>
      </c>
      <c r="M81" s="1935"/>
      <c r="N81" s="1936"/>
    </row>
    <row r="82" spans="1:14" ht="19.149999999999999" customHeight="1">
      <c r="A82" s="1785"/>
      <c r="B82" s="1788" t="s">
        <v>214</v>
      </c>
      <c r="C82" s="1789"/>
      <c r="D82" s="1790"/>
      <c r="E82" s="1791" t="s">
        <v>35</v>
      </c>
      <c r="F82" s="1792">
        <f t="shared" si="44"/>
        <v>0</v>
      </c>
      <c r="G82" s="1792">
        <f t="shared" si="45"/>
        <v>0</v>
      </c>
      <c r="H82" s="1793">
        <f>ROUND(IF(D82&lt;=0,0,5020),2)</f>
        <v>0</v>
      </c>
      <c r="I82" s="1794">
        <f t="shared" si="46"/>
        <v>0</v>
      </c>
      <c r="J82" s="1737">
        <f>IF(D82&gt;0,'S2'!$BI$17,0)</f>
        <v>0</v>
      </c>
      <c r="K82" s="1795">
        <f t="shared" si="47"/>
        <v>0</v>
      </c>
      <c r="L82" s="1795">
        <f t="shared" si="48"/>
        <v>0</v>
      </c>
      <c r="M82" s="1796"/>
      <c r="N82" s="1797"/>
    </row>
    <row r="83" spans="1:14" ht="19.149999999999999" customHeight="1">
      <c r="A83" s="1730"/>
      <c r="B83" s="1761" t="s">
        <v>215</v>
      </c>
      <c r="C83" s="1728"/>
      <c r="D83" s="1790"/>
      <c r="E83" s="1759" t="s">
        <v>35</v>
      </c>
      <c r="F83" s="1735">
        <f t="shared" ref="F83:F95" si="49">IF(D83&lt;=0,0,)</f>
        <v>0</v>
      </c>
      <c r="G83" s="1735">
        <f t="shared" ref="G83:G95" si="50">IF(D83&lt;=0,0,)</f>
        <v>0</v>
      </c>
      <c r="H83" s="1756">
        <f>ROUND(IF(D83&lt;=0,0,2700),2)</f>
        <v>0</v>
      </c>
      <c r="I83" s="1736">
        <f t="shared" ref="I83:I95" si="51">D83*H83</f>
        <v>0</v>
      </c>
      <c r="J83" s="1737">
        <f>IF(D83&gt;0,'S2'!$BI$17,0)</f>
        <v>0</v>
      </c>
      <c r="K83" s="1738">
        <f t="shared" ref="K83:K95" si="52">ROUND(H83*J83,2)</f>
        <v>0</v>
      </c>
      <c r="L83" s="1738">
        <f t="shared" ref="L83:L95" si="53">D83*H83*J83</f>
        <v>0</v>
      </c>
      <c r="M83" s="1731"/>
      <c r="N83" s="1732"/>
    </row>
    <row r="84" spans="1:14" ht="19.149999999999999" customHeight="1">
      <c r="A84" s="1730"/>
      <c r="B84" s="1761" t="s">
        <v>216</v>
      </c>
      <c r="C84" s="1728"/>
      <c r="D84" s="1790"/>
      <c r="E84" s="1759" t="s">
        <v>35</v>
      </c>
      <c r="F84" s="1735">
        <f>IF(D84&lt;=0,0,)</f>
        <v>0</v>
      </c>
      <c r="G84" s="1735">
        <f>IF(D84&lt;=0,0,)</f>
        <v>0</v>
      </c>
      <c r="H84" s="1756">
        <f>ROUND(IF(D84&lt;=0,0,4930),2)</f>
        <v>0</v>
      </c>
      <c r="I84" s="1736">
        <f>D84*H84</f>
        <v>0</v>
      </c>
      <c r="J84" s="1737">
        <f>IF(D84&gt;0,'S2'!$BI$17,0)</f>
        <v>0</v>
      </c>
      <c r="K84" s="1738">
        <f t="shared" si="52"/>
        <v>0</v>
      </c>
      <c r="L84" s="1738">
        <f t="shared" si="53"/>
        <v>0</v>
      </c>
      <c r="M84" s="1935"/>
      <c r="N84" s="1936"/>
    </row>
    <row r="85" spans="1:14" ht="19.149999999999999" customHeight="1">
      <c r="A85" s="1730"/>
      <c r="B85" s="1761" t="s">
        <v>217</v>
      </c>
      <c r="C85" s="1728"/>
      <c r="D85" s="1762"/>
      <c r="E85" s="1759" t="s">
        <v>35</v>
      </c>
      <c r="F85" s="1735">
        <f t="shared" si="49"/>
        <v>0</v>
      </c>
      <c r="G85" s="1735">
        <f t="shared" si="50"/>
        <v>0</v>
      </c>
      <c r="H85" s="1756">
        <f>ROUND(IF(D85&lt;=0,0,3320),2)</f>
        <v>0</v>
      </c>
      <c r="I85" s="1736">
        <f t="shared" si="51"/>
        <v>0</v>
      </c>
      <c r="J85" s="1737">
        <f>IF(D85&gt;0,'S2'!$BI$17,0)</f>
        <v>0</v>
      </c>
      <c r="K85" s="1738">
        <f t="shared" si="52"/>
        <v>0</v>
      </c>
      <c r="L85" s="1738">
        <f t="shared" si="53"/>
        <v>0</v>
      </c>
      <c r="M85" s="1731"/>
      <c r="N85" s="1732"/>
    </row>
    <row r="86" spans="1:14" ht="19.149999999999999" customHeight="1">
      <c r="A86" s="1730"/>
      <c r="B86" s="1761" t="s">
        <v>218</v>
      </c>
      <c r="C86" s="1728"/>
      <c r="D86" s="1763"/>
      <c r="E86" s="1759" t="s">
        <v>35</v>
      </c>
      <c r="F86" s="1735">
        <f t="shared" si="49"/>
        <v>0</v>
      </c>
      <c r="G86" s="1735">
        <f t="shared" si="50"/>
        <v>0</v>
      </c>
      <c r="H86" s="1756">
        <f>ROUND(IF(D86&lt;=0,0,4870),2)</f>
        <v>0</v>
      </c>
      <c r="I86" s="1736">
        <f t="shared" si="51"/>
        <v>0</v>
      </c>
      <c r="J86" s="1737">
        <f>IF(D86&gt;0,'S2'!$BI$17,0)</f>
        <v>0</v>
      </c>
      <c r="K86" s="1738">
        <f t="shared" si="52"/>
        <v>0</v>
      </c>
      <c r="L86" s="1738">
        <f t="shared" si="53"/>
        <v>0</v>
      </c>
      <c r="M86" s="1731"/>
      <c r="N86" s="1798"/>
    </row>
    <row r="87" spans="1:14" ht="19.149999999999999" customHeight="1">
      <c r="A87" s="1730"/>
      <c r="B87" s="1761" t="s">
        <v>219</v>
      </c>
      <c r="C87" s="1728"/>
      <c r="D87" s="1763"/>
      <c r="E87" s="1759" t="s">
        <v>35</v>
      </c>
      <c r="F87" s="1735">
        <f t="shared" si="49"/>
        <v>0</v>
      </c>
      <c r="G87" s="1735">
        <f t="shared" si="50"/>
        <v>0</v>
      </c>
      <c r="H87" s="1756">
        <f>ROUND(IF(D87&lt;=0,0,9640),2)</f>
        <v>0</v>
      </c>
      <c r="I87" s="1736">
        <f t="shared" si="51"/>
        <v>0</v>
      </c>
      <c r="J87" s="1737">
        <f>IF(D87&gt;0,'S2'!$BI$17,0)</f>
        <v>0</v>
      </c>
      <c r="K87" s="1738">
        <f t="shared" si="52"/>
        <v>0</v>
      </c>
      <c r="L87" s="1738">
        <f t="shared" si="53"/>
        <v>0</v>
      </c>
      <c r="M87" s="1731"/>
      <c r="N87" s="1732"/>
    </row>
    <row r="88" spans="1:14" ht="19.149999999999999" customHeight="1">
      <c r="A88" s="1730"/>
      <c r="B88" s="1761" t="s">
        <v>220</v>
      </c>
      <c r="C88" s="1728"/>
      <c r="D88" s="1763"/>
      <c r="E88" s="1759" t="s">
        <v>35</v>
      </c>
      <c r="F88" s="1735">
        <f t="shared" si="49"/>
        <v>0</v>
      </c>
      <c r="G88" s="1735">
        <f t="shared" si="50"/>
        <v>0</v>
      </c>
      <c r="H88" s="1799">
        <f>ROUND(IF(D88&lt;=0,0,15120),2)</f>
        <v>0</v>
      </c>
      <c r="I88" s="1736">
        <f t="shared" si="51"/>
        <v>0</v>
      </c>
      <c r="J88" s="1737">
        <f>IF(D88&gt;0,'S2'!$BI$17,0)</f>
        <v>0</v>
      </c>
      <c r="K88" s="1738">
        <f t="shared" si="52"/>
        <v>0</v>
      </c>
      <c r="L88" s="1738">
        <f t="shared" si="53"/>
        <v>0</v>
      </c>
      <c r="M88" s="1731"/>
      <c r="N88" s="1732"/>
    </row>
    <row r="89" spans="1:14" ht="19.149999999999999" customHeight="1">
      <c r="A89" s="1730"/>
      <c r="B89" s="1761" t="s">
        <v>221</v>
      </c>
      <c r="C89" s="1728"/>
      <c r="D89" s="1763"/>
      <c r="E89" s="1759" t="s">
        <v>35</v>
      </c>
      <c r="F89" s="1735">
        <f t="shared" si="49"/>
        <v>0</v>
      </c>
      <c r="G89" s="1735">
        <f t="shared" si="50"/>
        <v>0</v>
      </c>
      <c r="H89" s="1799">
        <f>ROUND(IF(D89&lt;=0,0,20780),2)</f>
        <v>0</v>
      </c>
      <c r="I89" s="1736">
        <f t="shared" si="51"/>
        <v>0</v>
      </c>
      <c r="J89" s="1737">
        <f>IF(D89&gt;0,'S2'!$BI$17,0)</f>
        <v>0</v>
      </c>
      <c r="K89" s="1738">
        <f t="shared" si="52"/>
        <v>0</v>
      </c>
      <c r="L89" s="1738">
        <f t="shared" si="53"/>
        <v>0</v>
      </c>
      <c r="M89" s="1731"/>
      <c r="N89" s="1732"/>
    </row>
    <row r="90" spans="1:14" ht="19.149999999999999" customHeight="1">
      <c r="A90" s="1730"/>
      <c r="B90" s="1761" t="s">
        <v>222</v>
      </c>
      <c r="C90" s="1728"/>
      <c r="D90" s="1762"/>
      <c r="E90" s="1759" t="s">
        <v>35</v>
      </c>
      <c r="F90" s="1735">
        <f t="shared" si="49"/>
        <v>0</v>
      </c>
      <c r="G90" s="1735">
        <f t="shared" si="50"/>
        <v>0</v>
      </c>
      <c r="H90" s="1756">
        <f>ROUND(IF(D90&lt;=0,0,8910),2)</f>
        <v>0</v>
      </c>
      <c r="I90" s="1736" t="s">
        <v>1185</v>
      </c>
      <c r="J90" s="1737">
        <f>IF(D90&gt;0,'S2'!$BI$17,0)</f>
        <v>0</v>
      </c>
      <c r="K90" s="1738">
        <f t="shared" si="52"/>
        <v>0</v>
      </c>
      <c r="L90" s="1738">
        <f t="shared" si="53"/>
        <v>0</v>
      </c>
      <c r="M90" s="1731"/>
      <c r="N90" s="1732"/>
    </row>
    <row r="91" spans="1:14" ht="19.149999999999999" customHeight="1">
      <c r="A91" s="1730"/>
      <c r="B91" s="1761" t="s">
        <v>223</v>
      </c>
      <c r="C91" s="1728"/>
      <c r="D91" s="1763"/>
      <c r="E91" s="1759" t="s">
        <v>35</v>
      </c>
      <c r="F91" s="1735">
        <f t="shared" si="49"/>
        <v>0</v>
      </c>
      <c r="G91" s="1735">
        <f t="shared" si="50"/>
        <v>0</v>
      </c>
      <c r="H91" s="1756">
        <f>ROUND(IF(D91&lt;=0,0,9640),2)</f>
        <v>0</v>
      </c>
      <c r="I91" s="1736">
        <f t="shared" si="51"/>
        <v>0</v>
      </c>
      <c r="J91" s="1737">
        <f>IF(D91&gt;0,'S2'!$BI$17,0)</f>
        <v>0</v>
      </c>
      <c r="K91" s="1738">
        <f t="shared" si="52"/>
        <v>0</v>
      </c>
      <c r="L91" s="1738">
        <f t="shared" si="53"/>
        <v>0</v>
      </c>
      <c r="M91" s="1731"/>
      <c r="N91" s="1732"/>
    </row>
    <row r="92" spans="1:14" ht="19.149999999999999" customHeight="1">
      <c r="A92" s="1730"/>
      <c r="B92" s="1761" t="s">
        <v>224</v>
      </c>
      <c r="C92" s="1728"/>
      <c r="D92" s="1763"/>
      <c r="E92" s="1759" t="s">
        <v>35</v>
      </c>
      <c r="F92" s="1735">
        <f t="shared" si="49"/>
        <v>0</v>
      </c>
      <c r="G92" s="1735">
        <f t="shared" si="50"/>
        <v>0</v>
      </c>
      <c r="H92" s="1756">
        <f>ROUND(IF(D92&lt;=0,0,5740),2)</f>
        <v>0</v>
      </c>
      <c r="I92" s="1736">
        <f t="shared" si="51"/>
        <v>0</v>
      </c>
      <c r="J92" s="1737">
        <f>IF(D92&gt;0,'S2'!$BI$17,0)</f>
        <v>0</v>
      </c>
      <c r="K92" s="1738">
        <f t="shared" si="52"/>
        <v>0</v>
      </c>
      <c r="L92" s="1738">
        <f t="shared" si="53"/>
        <v>0</v>
      </c>
      <c r="M92" s="1731"/>
      <c r="N92" s="1732"/>
    </row>
    <row r="93" spans="1:14" ht="19.149999999999999" customHeight="1">
      <c r="A93" s="1730"/>
      <c r="B93" s="1757" t="s">
        <v>295</v>
      </c>
      <c r="C93" s="1728"/>
      <c r="D93" s="1762"/>
      <c r="E93" s="1759" t="s">
        <v>35</v>
      </c>
      <c r="F93" s="1735">
        <f t="shared" si="49"/>
        <v>0</v>
      </c>
      <c r="G93" s="1735">
        <f t="shared" si="50"/>
        <v>0</v>
      </c>
      <c r="H93" s="1756">
        <f>ROUND(IF(D93&lt;=0,0,3640),2)</f>
        <v>0</v>
      </c>
      <c r="I93" s="1736">
        <f t="shared" si="51"/>
        <v>0</v>
      </c>
      <c r="J93" s="1737">
        <f>IF(D93&gt;0,'S2'!$BI$17,0)</f>
        <v>0</v>
      </c>
      <c r="K93" s="1738">
        <f t="shared" si="52"/>
        <v>0</v>
      </c>
      <c r="L93" s="1738">
        <f t="shared" si="53"/>
        <v>0</v>
      </c>
      <c r="M93" s="1731"/>
      <c r="N93" s="1732"/>
    </row>
    <row r="94" spans="1:14" ht="19.149999999999999" customHeight="1">
      <c r="A94" s="1730"/>
      <c r="B94" s="1757" t="s">
        <v>296</v>
      </c>
      <c r="C94" s="1728"/>
      <c r="D94" s="1762"/>
      <c r="E94" s="1759" t="s">
        <v>35</v>
      </c>
      <c r="F94" s="1735">
        <f>IF(D94&lt;=0,0,)</f>
        <v>0</v>
      </c>
      <c r="G94" s="1735">
        <f>IF(D94&lt;=0,0,)</f>
        <v>0</v>
      </c>
      <c r="H94" s="1756">
        <f>ROUND(IF(D94&lt;=0,0,4410),2)</f>
        <v>0</v>
      </c>
      <c r="I94" s="1736">
        <f>D94*H94</f>
        <v>0</v>
      </c>
      <c r="J94" s="1737">
        <f>IF(D94&gt;0,'S2'!$BI$17,0)</f>
        <v>0</v>
      </c>
      <c r="K94" s="1738">
        <f t="shared" si="52"/>
        <v>0</v>
      </c>
      <c r="L94" s="1738">
        <f t="shared" si="53"/>
        <v>0</v>
      </c>
      <c r="M94" s="1731"/>
      <c r="N94" s="1732"/>
    </row>
    <row r="95" spans="1:14" ht="19.149999999999999" customHeight="1">
      <c r="A95" s="1734"/>
      <c r="B95" s="1761" t="s">
        <v>1400</v>
      </c>
      <c r="C95" s="1728"/>
      <c r="D95" s="1762"/>
      <c r="E95" s="1759" t="s">
        <v>35</v>
      </c>
      <c r="F95" s="1735">
        <f t="shared" si="49"/>
        <v>0</v>
      </c>
      <c r="G95" s="1735">
        <f t="shared" si="50"/>
        <v>0</v>
      </c>
      <c r="H95" s="1756">
        <f>ROUND(IF(D95&lt;=0,0,3990),2)</f>
        <v>0</v>
      </c>
      <c r="I95" s="1736">
        <f t="shared" si="51"/>
        <v>0</v>
      </c>
      <c r="J95" s="1737">
        <f>IF(D95&gt;0,'S2'!$BI$17,0)</f>
        <v>0</v>
      </c>
      <c r="K95" s="1738">
        <f t="shared" si="52"/>
        <v>0</v>
      </c>
      <c r="L95" s="1738">
        <f t="shared" si="53"/>
        <v>0</v>
      </c>
      <c r="M95" s="1731"/>
      <c r="N95" s="1732"/>
    </row>
    <row r="96" spans="1:14" ht="19.149999999999999" customHeight="1">
      <c r="A96" s="1730"/>
      <c r="B96" s="1761" t="s">
        <v>1401</v>
      </c>
      <c r="C96" s="1728"/>
      <c r="D96" s="1762"/>
      <c r="E96" s="1759" t="s">
        <v>35</v>
      </c>
      <c r="F96" s="1735">
        <f t="shared" ref="F96:F111" si="54">IF(D96&lt;=0,0,)</f>
        <v>0</v>
      </c>
      <c r="G96" s="1735">
        <f t="shared" ref="G96:G111" si="55">IF(D96&lt;=0,0,)</f>
        <v>0</v>
      </c>
      <c r="H96" s="1756">
        <f>ROUND(IF(D96&lt;=0,0,0),2)</f>
        <v>0</v>
      </c>
      <c r="I96" s="1736">
        <f t="shared" ref="I96:I111" si="56">D96*H96</f>
        <v>0</v>
      </c>
      <c r="J96" s="1737">
        <f>IF(D96&gt;0,'S2'!$BI$17,0)</f>
        <v>0</v>
      </c>
      <c r="K96" s="1738">
        <f t="shared" ref="K96:K111" si="57">ROUND(H96*J96,2)</f>
        <v>0</v>
      </c>
      <c r="L96" s="1738">
        <f t="shared" ref="L96:L111" si="58">D96*H96*J96</f>
        <v>0</v>
      </c>
      <c r="M96" s="1731"/>
      <c r="N96" s="1732"/>
    </row>
    <row r="97" spans="1:14" ht="19.149999999999999" customHeight="1">
      <c r="A97" s="1730"/>
      <c r="B97" s="1761" t="s">
        <v>239</v>
      </c>
      <c r="C97" s="1728"/>
      <c r="D97" s="1762"/>
      <c r="E97" s="1759" t="s">
        <v>35</v>
      </c>
      <c r="F97" s="1735">
        <f t="shared" si="54"/>
        <v>0</v>
      </c>
      <c r="G97" s="1735">
        <f t="shared" si="55"/>
        <v>0</v>
      </c>
      <c r="H97" s="1756">
        <f>ROUND(IF(D97&lt;=0,0,),2)</f>
        <v>0</v>
      </c>
      <c r="I97" s="1736">
        <f t="shared" si="56"/>
        <v>0</v>
      </c>
      <c r="J97" s="1737">
        <f>IF(D97&gt;0,'S2'!$BI$17,0)</f>
        <v>0</v>
      </c>
      <c r="K97" s="1738">
        <f t="shared" si="57"/>
        <v>0</v>
      </c>
      <c r="L97" s="1738">
        <f t="shared" si="58"/>
        <v>0</v>
      </c>
      <c r="M97" s="1731"/>
      <c r="N97" s="1732"/>
    </row>
    <row r="98" spans="1:14" ht="19.149999999999999" customHeight="1">
      <c r="A98" s="1730"/>
      <c r="B98" s="1761" t="s">
        <v>240</v>
      </c>
      <c r="C98" s="1728"/>
      <c r="D98" s="1762"/>
      <c r="E98" s="1759" t="s">
        <v>35</v>
      </c>
      <c r="F98" s="1735">
        <f t="shared" si="54"/>
        <v>0</v>
      </c>
      <c r="G98" s="1735">
        <f t="shared" si="55"/>
        <v>0</v>
      </c>
      <c r="H98" s="1756">
        <f>ROUND(IF(D98&lt;=0,0,),2)</f>
        <v>0</v>
      </c>
      <c r="I98" s="1736">
        <f t="shared" si="56"/>
        <v>0</v>
      </c>
      <c r="J98" s="1737">
        <f>IF(D98&gt;0,'S2'!$BI$17,0)</f>
        <v>0</v>
      </c>
      <c r="K98" s="1738">
        <f t="shared" si="57"/>
        <v>0</v>
      </c>
      <c r="L98" s="1738">
        <f t="shared" si="58"/>
        <v>0</v>
      </c>
      <c r="M98" s="1731"/>
      <c r="N98" s="1732"/>
    </row>
    <row r="99" spans="1:14" ht="19.149999999999999" customHeight="1">
      <c r="A99" s="1730"/>
      <c r="B99" s="1761" t="s">
        <v>1052</v>
      </c>
      <c r="C99" s="1728"/>
      <c r="D99" s="1763"/>
      <c r="E99" s="1759" t="s">
        <v>45</v>
      </c>
      <c r="F99" s="1735">
        <f t="shared" si="54"/>
        <v>0</v>
      </c>
      <c r="G99" s="1735">
        <f t="shared" si="55"/>
        <v>0</v>
      </c>
      <c r="H99" s="1756">
        <f>ROUND(IF(D99&lt;=0,0,),2)</f>
        <v>0</v>
      </c>
      <c r="I99" s="1736">
        <f t="shared" si="56"/>
        <v>0</v>
      </c>
      <c r="J99" s="1737">
        <f>IF(D99&gt;0,'S2'!$BI$17,0)</f>
        <v>0</v>
      </c>
      <c r="K99" s="1738">
        <f t="shared" si="57"/>
        <v>0</v>
      </c>
      <c r="L99" s="1738">
        <f t="shared" si="58"/>
        <v>0</v>
      </c>
      <c r="M99" s="1731"/>
      <c r="N99" s="1732"/>
    </row>
    <row r="100" spans="1:14" ht="19.149999999999999" customHeight="1">
      <c r="A100" s="1730"/>
      <c r="B100" s="1761" t="s">
        <v>1053</v>
      </c>
      <c r="C100" s="1728"/>
      <c r="D100" s="1763"/>
      <c r="E100" s="1759" t="s">
        <v>1338</v>
      </c>
      <c r="F100" s="1735">
        <f t="shared" si="54"/>
        <v>0</v>
      </c>
      <c r="G100" s="1735">
        <f t="shared" si="55"/>
        <v>0</v>
      </c>
      <c r="H100" s="1756">
        <f>ROUND(IF(D100&lt;=0,0,),2)</f>
        <v>0</v>
      </c>
      <c r="I100" s="1736">
        <f t="shared" si="56"/>
        <v>0</v>
      </c>
      <c r="J100" s="1737">
        <f>IF(D100&gt;0,'S2'!$BI$17,0)</f>
        <v>0</v>
      </c>
      <c r="K100" s="1738">
        <f t="shared" si="57"/>
        <v>0</v>
      </c>
      <c r="L100" s="1738">
        <f t="shared" si="58"/>
        <v>0</v>
      </c>
      <c r="M100" s="1731"/>
      <c r="N100" s="1732"/>
    </row>
    <row r="101" spans="1:14" ht="19.149999999999999" hidden="1" customHeight="1">
      <c r="A101" s="1730"/>
      <c r="B101" s="1766" t="s">
        <v>241</v>
      </c>
      <c r="C101" s="1728"/>
      <c r="D101" s="1762"/>
      <c r="E101" s="1800" t="s">
        <v>36</v>
      </c>
      <c r="F101" s="1735">
        <f t="shared" si="54"/>
        <v>0</v>
      </c>
      <c r="G101" s="1735">
        <f t="shared" si="55"/>
        <v>0</v>
      </c>
      <c r="H101" s="1756">
        <f>ROUND(IF(D101&lt;=0,0,740),2)</f>
        <v>0</v>
      </c>
      <c r="I101" s="1736">
        <f t="shared" si="56"/>
        <v>0</v>
      </c>
      <c r="J101" s="1737">
        <f>IF(D101&gt;0,'S2'!$BI$17,0)</f>
        <v>0</v>
      </c>
      <c r="K101" s="1738">
        <f t="shared" si="57"/>
        <v>0</v>
      </c>
      <c r="L101" s="1738">
        <f t="shared" si="58"/>
        <v>0</v>
      </c>
      <c r="M101" s="1731"/>
      <c r="N101" s="1732"/>
    </row>
    <row r="102" spans="1:14" ht="19.149999999999999" hidden="1" customHeight="1">
      <c r="A102" s="1730"/>
      <c r="B102" s="1766" t="s">
        <v>242</v>
      </c>
      <c r="C102" s="1728"/>
      <c r="D102" s="1763"/>
      <c r="E102" s="1800" t="s">
        <v>36</v>
      </c>
      <c r="F102" s="1735">
        <f t="shared" si="54"/>
        <v>0</v>
      </c>
      <c r="G102" s="1735">
        <f t="shared" si="55"/>
        <v>0</v>
      </c>
      <c r="H102" s="1756">
        <f>ROUND(IF(D102&lt;=0,0,2290),2)</f>
        <v>0</v>
      </c>
      <c r="I102" s="1736">
        <f t="shared" si="56"/>
        <v>0</v>
      </c>
      <c r="J102" s="1737">
        <f>IF(D102&gt;0,'S2'!$BI$17,0)</f>
        <v>0</v>
      </c>
      <c r="K102" s="1738">
        <f t="shared" si="57"/>
        <v>0</v>
      </c>
      <c r="L102" s="1738">
        <f t="shared" si="58"/>
        <v>0</v>
      </c>
      <c r="M102" s="1731"/>
      <c r="N102" s="1732"/>
    </row>
    <row r="103" spans="1:14" ht="19.149999999999999" hidden="1" customHeight="1">
      <c r="A103" s="1730"/>
      <c r="B103" s="1766" t="s">
        <v>243</v>
      </c>
      <c r="C103" s="1728"/>
      <c r="D103" s="1762"/>
      <c r="E103" s="1800" t="s">
        <v>36</v>
      </c>
      <c r="F103" s="1735">
        <f t="shared" si="54"/>
        <v>0</v>
      </c>
      <c r="G103" s="1735">
        <f t="shared" si="55"/>
        <v>0</v>
      </c>
      <c r="H103" s="1756">
        <f>ROUND(IF(D103&lt;=0,0,330),2)</f>
        <v>0</v>
      </c>
      <c r="I103" s="1736">
        <f t="shared" si="56"/>
        <v>0</v>
      </c>
      <c r="J103" s="1737">
        <f>IF(D103&gt;0,'S2'!$BI$17,0)</f>
        <v>0</v>
      </c>
      <c r="K103" s="1738">
        <f t="shared" si="57"/>
        <v>0</v>
      </c>
      <c r="L103" s="1738">
        <f t="shared" si="58"/>
        <v>0</v>
      </c>
      <c r="M103" s="1731"/>
      <c r="N103" s="1732"/>
    </row>
    <row r="104" spans="1:14" ht="19.149999999999999" hidden="1" customHeight="1">
      <c r="A104" s="1730"/>
      <c r="B104" s="1766" t="s">
        <v>244</v>
      </c>
      <c r="C104" s="1728"/>
      <c r="D104" s="1762"/>
      <c r="E104" s="1800" t="s">
        <v>36</v>
      </c>
      <c r="F104" s="1735">
        <f t="shared" si="54"/>
        <v>0</v>
      </c>
      <c r="G104" s="1735">
        <f t="shared" si="55"/>
        <v>0</v>
      </c>
      <c r="H104" s="1756">
        <f>ROUND(IF(D104&lt;=0,0,0),2)</f>
        <v>0</v>
      </c>
      <c r="I104" s="1736">
        <f t="shared" si="56"/>
        <v>0</v>
      </c>
      <c r="J104" s="1737">
        <f>IF(D104&gt;0,'S2'!$BI$17,0)</f>
        <v>0</v>
      </c>
      <c r="K104" s="1738">
        <f t="shared" si="57"/>
        <v>0</v>
      </c>
      <c r="L104" s="1738">
        <f t="shared" si="58"/>
        <v>0</v>
      </c>
      <c r="M104" s="1731"/>
      <c r="N104" s="1732"/>
    </row>
    <row r="105" spans="1:14" ht="19.149999999999999" hidden="1" customHeight="1">
      <c r="A105" s="1730"/>
      <c r="B105" s="1766" t="s">
        <v>505</v>
      </c>
      <c r="C105" s="1728"/>
      <c r="D105" s="1767"/>
      <c r="E105" s="1800" t="s">
        <v>45</v>
      </c>
      <c r="F105" s="1735">
        <f t="shared" si="54"/>
        <v>0</v>
      </c>
      <c r="G105" s="1735">
        <f t="shared" si="55"/>
        <v>0</v>
      </c>
      <c r="H105" s="1756">
        <f>ROUND(IF(D105&lt;=0,0,1780),2)</f>
        <v>0</v>
      </c>
      <c r="I105" s="1736">
        <f t="shared" si="56"/>
        <v>0</v>
      </c>
      <c r="J105" s="1737">
        <f>IF(D105&gt;0,'S2'!$BI$17,0)</f>
        <v>0</v>
      </c>
      <c r="K105" s="1738">
        <f t="shared" si="57"/>
        <v>0</v>
      </c>
      <c r="L105" s="1738">
        <f t="shared" si="58"/>
        <v>0</v>
      </c>
      <c r="M105" s="1731"/>
      <c r="N105" s="1732"/>
    </row>
    <row r="106" spans="1:14" ht="19.149999999999999" hidden="1" customHeight="1">
      <c r="A106" s="1730"/>
      <c r="B106" s="1766" t="s">
        <v>506</v>
      </c>
      <c r="C106" s="1728"/>
      <c r="D106" s="1763"/>
      <c r="E106" s="1800" t="s">
        <v>45</v>
      </c>
      <c r="F106" s="1735">
        <f t="shared" si="54"/>
        <v>0</v>
      </c>
      <c r="G106" s="1735">
        <f t="shared" si="55"/>
        <v>0</v>
      </c>
      <c r="H106" s="1756">
        <f>ROUND(IF(D106&lt;=0,0,1400),2)</f>
        <v>0</v>
      </c>
      <c r="I106" s="1736">
        <f t="shared" si="56"/>
        <v>0</v>
      </c>
      <c r="J106" s="1737">
        <f>IF(D106&gt;0,'S2'!$BI$17,0)</f>
        <v>0</v>
      </c>
      <c r="K106" s="1738">
        <f t="shared" si="57"/>
        <v>0</v>
      </c>
      <c r="L106" s="1738">
        <f t="shared" si="58"/>
        <v>0</v>
      </c>
      <c r="M106" s="1731"/>
      <c r="N106" s="1732"/>
    </row>
    <row r="107" spans="1:14" ht="19.149999999999999" hidden="1" customHeight="1">
      <c r="A107" s="1730"/>
      <c r="B107" s="1766" t="s">
        <v>245</v>
      </c>
      <c r="C107" s="1801"/>
      <c r="D107" s="1762"/>
      <c r="E107" s="1800" t="s">
        <v>120</v>
      </c>
      <c r="F107" s="1735">
        <f t="shared" si="54"/>
        <v>0</v>
      </c>
      <c r="G107" s="1735">
        <f t="shared" si="55"/>
        <v>0</v>
      </c>
      <c r="H107" s="1756">
        <f>ROUND(IF(D107&lt;=0,0,8000),2)</f>
        <v>0</v>
      </c>
      <c r="I107" s="1736">
        <f t="shared" si="56"/>
        <v>0</v>
      </c>
      <c r="J107" s="1737">
        <f>IF(D107&gt;0,'S2'!$BI$17,0)</f>
        <v>0</v>
      </c>
      <c r="K107" s="1738">
        <f t="shared" si="57"/>
        <v>0</v>
      </c>
      <c r="L107" s="1738">
        <f t="shared" si="58"/>
        <v>0</v>
      </c>
      <c r="M107" s="1731"/>
      <c r="N107" s="1732"/>
    </row>
    <row r="108" spans="1:14" ht="19.149999999999999" hidden="1" customHeight="1">
      <c r="A108" s="1730"/>
      <c r="B108" s="1766" t="s">
        <v>246</v>
      </c>
      <c r="C108" s="1801"/>
      <c r="D108" s="1763"/>
      <c r="E108" s="1800" t="s">
        <v>128</v>
      </c>
      <c r="F108" s="1735">
        <f t="shared" si="54"/>
        <v>0</v>
      </c>
      <c r="G108" s="1735">
        <f t="shared" si="55"/>
        <v>0</v>
      </c>
      <c r="H108" s="1756">
        <f>ROUND(IF(D108&lt;=0,0,215),2)</f>
        <v>0</v>
      </c>
      <c r="I108" s="1736">
        <f t="shared" si="56"/>
        <v>0</v>
      </c>
      <c r="J108" s="1737">
        <f>IF(D108&gt;0,'S2'!$BI$17,0)</f>
        <v>0</v>
      </c>
      <c r="K108" s="1738">
        <f t="shared" si="57"/>
        <v>0</v>
      </c>
      <c r="L108" s="1738">
        <f t="shared" si="58"/>
        <v>0</v>
      </c>
      <c r="M108" s="1731"/>
      <c r="N108" s="1732"/>
    </row>
    <row r="109" spans="1:14" ht="19.149999999999999" hidden="1" customHeight="1">
      <c r="A109" s="1730"/>
      <c r="B109" s="1766" t="s">
        <v>247</v>
      </c>
      <c r="C109" s="1801"/>
      <c r="D109" s="1763"/>
      <c r="E109" s="1800" t="s">
        <v>120</v>
      </c>
      <c r="F109" s="1735">
        <f t="shared" si="54"/>
        <v>0</v>
      </c>
      <c r="G109" s="1735">
        <f t="shared" si="55"/>
        <v>0</v>
      </c>
      <c r="H109" s="1756">
        <f>ROUND(IF(D109&lt;=0,0,10320),2)</f>
        <v>0</v>
      </c>
      <c r="I109" s="1736">
        <f t="shared" si="56"/>
        <v>0</v>
      </c>
      <c r="J109" s="1737">
        <f>IF(D109&gt;0,'S2'!$BI$17,0)</f>
        <v>0</v>
      </c>
      <c r="K109" s="1738">
        <f t="shared" si="57"/>
        <v>0</v>
      </c>
      <c r="L109" s="1738">
        <f t="shared" si="58"/>
        <v>0</v>
      </c>
      <c r="M109" s="1731"/>
      <c r="N109" s="1732"/>
    </row>
    <row r="110" spans="1:14" ht="19.149999999999999" hidden="1" customHeight="1">
      <c r="A110" s="1730"/>
      <c r="B110" s="1766" t="s">
        <v>248</v>
      </c>
      <c r="C110" s="1801"/>
      <c r="D110" s="1762"/>
      <c r="E110" s="1800" t="s">
        <v>120</v>
      </c>
      <c r="F110" s="1735">
        <f t="shared" si="54"/>
        <v>0</v>
      </c>
      <c r="G110" s="1735">
        <f t="shared" si="55"/>
        <v>0</v>
      </c>
      <c r="H110" s="1756">
        <f>ROUND(IF(D110&lt;=0,0,5000),2)</f>
        <v>0</v>
      </c>
      <c r="I110" s="1736">
        <f t="shared" si="56"/>
        <v>0</v>
      </c>
      <c r="J110" s="1737">
        <f>IF(D110&gt;0,'S2'!$BI$17,0)</f>
        <v>0</v>
      </c>
      <c r="K110" s="1738">
        <f t="shared" si="57"/>
        <v>0</v>
      </c>
      <c r="L110" s="1738">
        <f t="shared" si="58"/>
        <v>0</v>
      </c>
      <c r="M110" s="1731"/>
      <c r="N110" s="1732"/>
    </row>
    <row r="111" spans="1:14" ht="19.149999999999999" hidden="1" customHeight="1">
      <c r="A111" s="1730"/>
      <c r="B111" s="1933" t="s">
        <v>282</v>
      </c>
      <c r="C111" s="1934"/>
      <c r="D111" s="1763"/>
      <c r="E111" s="1800" t="s">
        <v>45</v>
      </c>
      <c r="F111" s="1735">
        <f t="shared" si="54"/>
        <v>0</v>
      </c>
      <c r="G111" s="1735">
        <f t="shared" si="55"/>
        <v>0</v>
      </c>
      <c r="H111" s="1756">
        <f>ROUND(IF(D111&lt;=0,0,890),2)</f>
        <v>0</v>
      </c>
      <c r="I111" s="1736">
        <f t="shared" si="56"/>
        <v>0</v>
      </c>
      <c r="J111" s="1737">
        <f>IF(D111&gt;0,'S2'!$BI$17,0)</f>
        <v>0</v>
      </c>
      <c r="K111" s="1738">
        <f t="shared" si="57"/>
        <v>0</v>
      </c>
      <c r="L111" s="1738">
        <f t="shared" si="58"/>
        <v>0</v>
      </c>
      <c r="M111" s="1731"/>
      <c r="N111" s="1732"/>
    </row>
    <row r="112" spans="1:14" ht="19.149999999999999" hidden="1" customHeight="1">
      <c r="A112" s="1726">
        <v>6</v>
      </c>
      <c r="B112" s="1802" t="s">
        <v>1022</v>
      </c>
      <c r="C112" s="1803"/>
      <c r="D112" s="1763"/>
      <c r="E112" s="1800"/>
      <c r="F112" s="1735"/>
      <c r="G112" s="1735"/>
      <c r="H112" s="1756"/>
      <c r="I112" s="1736"/>
      <c r="J112" s="1737">
        <f>IF(D112&gt;0,'S2'!$BI$17,0)</f>
        <v>0</v>
      </c>
      <c r="K112" s="1738"/>
      <c r="L112" s="1738"/>
      <c r="M112" s="1731"/>
      <c r="N112" s="1732"/>
    </row>
    <row r="113" spans="1:14" ht="19.149999999999999" hidden="1" customHeight="1">
      <c r="A113" s="1726"/>
      <c r="B113" s="1766" t="s">
        <v>1023</v>
      </c>
      <c r="C113" s="1803"/>
      <c r="D113" s="1763"/>
      <c r="E113" s="1800"/>
      <c r="F113" s="1735"/>
      <c r="G113" s="1735"/>
      <c r="H113" s="1756"/>
      <c r="I113" s="1736"/>
      <c r="J113" s="1737">
        <f>IF(D113&gt;0,'S2'!$BI$17,0)</f>
        <v>0</v>
      </c>
      <c r="K113" s="1738"/>
      <c r="L113" s="1738"/>
      <c r="M113" s="1731"/>
      <c r="N113" s="1732"/>
    </row>
    <row r="114" spans="1:14" ht="19.149999999999999" hidden="1" customHeight="1">
      <c r="A114" s="1726"/>
      <c r="B114" s="1766" t="s">
        <v>1199</v>
      </c>
      <c r="C114" s="1803"/>
      <c r="D114" s="1763"/>
      <c r="E114" s="1800" t="s">
        <v>1024</v>
      </c>
      <c r="F114" s="1735">
        <f>IF(D114&lt;=0,0,)</f>
        <v>0</v>
      </c>
      <c r="G114" s="1735">
        <f>IF(D114&lt;=0,0,)</f>
        <v>0</v>
      </c>
      <c r="H114" s="1756">
        <f>ROUND(IF(D114&lt;=0,0,'1.ข้อมูล'!V65),2)</f>
        <v>0</v>
      </c>
      <c r="I114" s="1736">
        <f t="shared" ref="I114:I120" si="59">D114*H114</f>
        <v>0</v>
      </c>
      <c r="J114" s="1737">
        <f>IF(D114&gt;0,'S2'!$BI$17,0)</f>
        <v>0</v>
      </c>
      <c r="K114" s="1738">
        <f t="shared" ref="K114:K120" si="60">ROUNDDOWN(H114*J114,2)</f>
        <v>0</v>
      </c>
      <c r="L114" s="1738">
        <f t="shared" ref="L114:L120" si="61">D114*H114*J114</f>
        <v>0</v>
      </c>
      <c r="M114" s="1731"/>
      <c r="N114" s="1732"/>
    </row>
    <row r="115" spans="1:14" ht="19.149999999999999" hidden="1" customHeight="1">
      <c r="A115" s="1726"/>
      <c r="B115" s="1766" t="s">
        <v>1200</v>
      </c>
      <c r="C115" s="1803"/>
      <c r="D115" s="1763"/>
      <c r="E115" s="1800" t="s">
        <v>1024</v>
      </c>
      <c r="F115" s="1735">
        <f>IF(D115&lt;=0,0,)</f>
        <v>0</v>
      </c>
      <c r="G115" s="1735">
        <f>IF(D115&lt;=0,0,)</f>
        <v>0</v>
      </c>
      <c r="H115" s="1756">
        <f>ROUND(IF(D115&lt;=0,0,'1.ข้อมูล'!V73),2)</f>
        <v>0</v>
      </c>
      <c r="I115" s="1736">
        <f t="shared" si="59"/>
        <v>0</v>
      </c>
      <c r="J115" s="1737">
        <f>IF(D115&gt;0,'S2'!$BI$17,0)</f>
        <v>0</v>
      </c>
      <c r="K115" s="1738">
        <f t="shared" si="60"/>
        <v>0</v>
      </c>
      <c r="L115" s="1738">
        <f t="shared" si="61"/>
        <v>0</v>
      </c>
      <c r="M115" s="1731"/>
      <c r="N115" s="1732"/>
    </row>
    <row r="116" spans="1:14" ht="19.149999999999999" hidden="1" customHeight="1">
      <c r="A116" s="1726"/>
      <c r="B116" s="1766" t="s">
        <v>1201</v>
      </c>
      <c r="C116" s="1803"/>
      <c r="D116" s="1763"/>
      <c r="E116" s="1800" t="s">
        <v>1024</v>
      </c>
      <c r="F116" s="1735">
        <f>IF(D116&lt;=0,0,)</f>
        <v>0</v>
      </c>
      <c r="G116" s="1735">
        <f>IF(D116&lt;=0,0,)</f>
        <v>0</v>
      </c>
      <c r="H116" s="1756">
        <f>ROUND(IF(D116&lt;=0,0,'1.ข้อมูล'!V81),2)</f>
        <v>0</v>
      </c>
      <c r="I116" s="1736">
        <f t="shared" si="59"/>
        <v>0</v>
      </c>
      <c r="J116" s="1737">
        <f>IF(D116&gt;0,'S2'!$BI$17,0)</f>
        <v>0</v>
      </c>
      <c r="K116" s="1738">
        <f t="shared" si="60"/>
        <v>0</v>
      </c>
      <c r="L116" s="1738">
        <f t="shared" si="61"/>
        <v>0</v>
      </c>
      <c r="M116" s="1731"/>
      <c r="N116" s="1732"/>
    </row>
    <row r="117" spans="1:14" ht="19.149999999999999" hidden="1" customHeight="1">
      <c r="A117" s="1730"/>
      <c r="B117" s="1766" t="s">
        <v>1202</v>
      </c>
      <c r="C117" s="1803"/>
      <c r="D117" s="1763"/>
      <c r="E117" s="1800" t="s">
        <v>1024</v>
      </c>
      <c r="F117" s="1735">
        <f>IF(D117&lt;=0,0,)</f>
        <v>0</v>
      </c>
      <c r="G117" s="1735">
        <f>IF(D117&lt;=0,0,)</f>
        <v>0</v>
      </c>
      <c r="H117" s="1756">
        <f>ROUND(IF(D117&lt;=0,0,'1.ข้อมูล'!V89),2)</f>
        <v>0</v>
      </c>
      <c r="I117" s="1736">
        <f t="shared" si="59"/>
        <v>0</v>
      </c>
      <c r="J117" s="1737">
        <f>IF(D117&gt;0,'S2'!$BI$17,0)</f>
        <v>0</v>
      </c>
      <c r="K117" s="1738">
        <f t="shared" si="60"/>
        <v>0</v>
      </c>
      <c r="L117" s="1738">
        <f t="shared" si="61"/>
        <v>0</v>
      </c>
      <c r="M117" s="1731"/>
      <c r="N117" s="1732"/>
    </row>
    <row r="118" spans="1:14" ht="19.149999999999999" hidden="1" customHeight="1">
      <c r="A118" s="1730"/>
      <c r="B118" s="1766" t="s">
        <v>1051</v>
      </c>
      <c r="C118" s="1766"/>
      <c r="D118" s="1763"/>
      <c r="E118" s="1800"/>
      <c r="F118" s="1735"/>
      <c r="G118" s="1735"/>
      <c r="H118" s="1756"/>
      <c r="I118" s="1736"/>
      <c r="J118" s="1737"/>
      <c r="K118" s="1738"/>
      <c r="L118" s="1738"/>
      <c r="M118" s="1731"/>
      <c r="N118" s="1732"/>
    </row>
    <row r="119" spans="1:14" ht="19.149999999999999" hidden="1" customHeight="1">
      <c r="A119" s="1730"/>
      <c r="B119" s="1761" t="s">
        <v>1163</v>
      </c>
      <c r="C119" s="1728"/>
      <c r="D119" s="1733"/>
      <c r="E119" s="1759" t="s">
        <v>45</v>
      </c>
      <c r="F119" s="1735">
        <f>IF(D119&lt;=0,0,)</f>
        <v>0</v>
      </c>
      <c r="G119" s="1735">
        <f>IF(D119&lt;=0,0,)</f>
        <v>0</v>
      </c>
      <c r="H119" s="1756">
        <f>ROUND(IF(D119&lt;=0,0,รางระบายน้ำ!N54),2)</f>
        <v>0</v>
      </c>
      <c r="I119" s="1736">
        <f t="shared" si="59"/>
        <v>0</v>
      </c>
      <c r="J119" s="1737">
        <f>IF(D119&gt;0,'S2'!$BL$31,0)</f>
        <v>0</v>
      </c>
      <c r="K119" s="1738">
        <f t="shared" si="60"/>
        <v>0</v>
      </c>
      <c r="L119" s="1738">
        <f t="shared" si="61"/>
        <v>0</v>
      </c>
      <c r="M119" s="1731"/>
      <c r="N119" s="1732"/>
    </row>
    <row r="120" spans="1:14" ht="19.149999999999999" hidden="1" customHeight="1">
      <c r="A120" s="1730"/>
      <c r="B120" s="1761" t="s">
        <v>1164</v>
      </c>
      <c r="C120" s="1728"/>
      <c r="D120" s="1733"/>
      <c r="E120" s="1759" t="s">
        <v>993</v>
      </c>
      <c r="F120" s="1735">
        <f>IF(D120&lt;=0,0,)</f>
        <v>0</v>
      </c>
      <c r="G120" s="1735">
        <f>IF(D120&lt;=0,0,)</f>
        <v>0</v>
      </c>
      <c r="H120" s="1756">
        <f>ROUND(IF(D120&lt;=0,0,บ่อพัก!H31),2)</f>
        <v>0</v>
      </c>
      <c r="I120" s="1736">
        <f t="shared" si="59"/>
        <v>0</v>
      </c>
      <c r="J120" s="1737">
        <f>IF(D120&gt;0,'S2'!$BL$31,0)</f>
        <v>0</v>
      </c>
      <c r="K120" s="1738">
        <f t="shared" si="60"/>
        <v>0</v>
      </c>
      <c r="L120" s="1738">
        <f t="shared" si="61"/>
        <v>0</v>
      </c>
      <c r="M120" s="1731"/>
      <c r="N120" s="1732"/>
    </row>
    <row r="121" spans="1:14" ht="19.149999999999999" customHeight="1">
      <c r="A121" s="1730"/>
      <c r="B121" s="1728"/>
      <c r="C121" s="1804" t="s">
        <v>306</v>
      </c>
      <c r="D121" s="1751"/>
      <c r="E121" s="1800"/>
      <c r="F121" s="1735"/>
      <c r="G121" s="1735"/>
      <c r="H121" s="1756"/>
      <c r="I121" s="1805">
        <f>SUM(I74:I120)</f>
        <v>448310.91738066095</v>
      </c>
      <c r="J121" s="1805"/>
      <c r="K121" s="1805"/>
      <c r="L121" s="1805">
        <f>SUM(L74:L120)</f>
        <v>611585.75349069771</v>
      </c>
      <c r="M121" s="1731"/>
      <c r="N121" s="1732"/>
    </row>
    <row r="122" spans="1:14" ht="19.149999999999999" customHeight="1">
      <c r="A122" s="1734"/>
      <c r="B122" s="1929" t="s">
        <v>307</v>
      </c>
      <c r="C122" s="1930"/>
      <c r="D122" s="1836"/>
      <c r="E122" s="1837"/>
      <c r="F122" s="1838"/>
      <c r="G122" s="1838"/>
      <c r="H122" s="1839"/>
      <c r="I122" s="1840"/>
      <c r="J122" s="1841"/>
      <c r="K122" s="1842"/>
      <c r="L122" s="1842"/>
      <c r="M122" s="1731"/>
      <c r="N122" s="1732"/>
    </row>
    <row r="123" spans="1:14" ht="19.149999999999999" customHeight="1">
      <c r="A123" s="1730"/>
      <c r="B123" s="1931" t="s">
        <v>1422</v>
      </c>
      <c r="C123" s="1932"/>
      <c r="D123" s="1843"/>
      <c r="E123" s="1837"/>
      <c r="F123" s="1838"/>
      <c r="G123" s="1838"/>
      <c r="H123" s="1839"/>
      <c r="I123" s="1840"/>
      <c r="J123" s="1841"/>
      <c r="K123" s="1842"/>
      <c r="L123" s="1842"/>
      <c r="M123" s="1731"/>
      <c r="N123" s="1732"/>
    </row>
    <row r="124" spans="1:14" ht="19.149999999999999" customHeight="1">
      <c r="A124" s="1730"/>
      <c r="B124" s="1844" t="s">
        <v>1431</v>
      </c>
      <c r="C124" s="1845"/>
      <c r="D124" s="1846">
        <v>1</v>
      </c>
      <c r="E124" s="1847" t="s">
        <v>1108</v>
      </c>
      <c r="F124" s="1848">
        <v>500</v>
      </c>
      <c r="G124" s="1848">
        <f t="shared" ref="G124:G134" si="62">IF(D124&lt;=0,0,)</f>
        <v>0</v>
      </c>
      <c r="H124" s="1848">
        <f t="shared" ref="H124:H129" si="63">F124+G124</f>
        <v>500</v>
      </c>
      <c r="I124" s="1849">
        <f t="shared" ref="I124:I134" si="64">D124*H124</f>
        <v>500</v>
      </c>
      <c r="J124" s="1850">
        <v>1</v>
      </c>
      <c r="K124" s="1851">
        <f>ROUNDDOWN(H124*J124,2)</f>
        <v>500</v>
      </c>
      <c r="L124" s="1851">
        <f t="shared" ref="L124:L134" si="65">D124*K124</f>
        <v>500</v>
      </c>
      <c r="M124" s="1731"/>
      <c r="N124" s="1732"/>
    </row>
    <row r="125" spans="1:14" ht="19.149999999999999" customHeight="1">
      <c r="A125" s="1730"/>
      <c r="B125" s="1844" t="s">
        <v>1432</v>
      </c>
      <c r="C125" s="1845"/>
      <c r="D125" s="1852">
        <v>1</v>
      </c>
      <c r="E125" s="1847" t="s">
        <v>1338</v>
      </c>
      <c r="F125" s="1848"/>
      <c r="G125" s="1848">
        <v>0</v>
      </c>
      <c r="H125" s="1848">
        <f t="shared" si="63"/>
        <v>0</v>
      </c>
      <c r="I125" s="1849">
        <f t="shared" si="64"/>
        <v>0</v>
      </c>
      <c r="J125" s="1850">
        <v>0</v>
      </c>
      <c r="K125" s="1851">
        <f>ROUNDDOWN(H125*J125,2)</f>
        <v>0</v>
      </c>
      <c r="L125" s="1851">
        <f t="shared" si="65"/>
        <v>0</v>
      </c>
      <c r="M125" s="1731"/>
      <c r="N125" s="1732"/>
    </row>
    <row r="126" spans="1:14" ht="19.149999999999999" customHeight="1">
      <c r="A126" s="1730"/>
      <c r="B126" s="1844" t="s">
        <v>1423</v>
      </c>
      <c r="C126" s="1845"/>
      <c r="D126" s="1846">
        <v>1</v>
      </c>
      <c r="E126" s="1847" t="s">
        <v>1024</v>
      </c>
      <c r="F126" s="1867">
        <v>350</v>
      </c>
      <c r="G126" s="1848">
        <f t="shared" si="62"/>
        <v>0</v>
      </c>
      <c r="H126" s="1848">
        <f t="shared" si="63"/>
        <v>350</v>
      </c>
      <c r="I126" s="1849">
        <f t="shared" si="64"/>
        <v>350</v>
      </c>
      <c r="J126" s="1850">
        <f t="shared" ref="J126:J134" si="66">IF(D126&gt;0,1.07,0)</f>
        <v>1.07</v>
      </c>
      <c r="K126" s="1851">
        <f>ROUNDDOWN(H126*J126,2)</f>
        <v>374.5</v>
      </c>
      <c r="L126" s="1851">
        <f t="shared" si="65"/>
        <v>374.5</v>
      </c>
      <c r="M126" s="1731"/>
      <c r="N126" s="1732"/>
    </row>
    <row r="127" spans="1:14" ht="19.149999999999999" customHeight="1">
      <c r="A127" s="1730"/>
      <c r="B127" s="1844" t="s">
        <v>1424</v>
      </c>
      <c r="C127" s="1845"/>
      <c r="D127" s="1846">
        <v>2</v>
      </c>
      <c r="E127" s="1847" t="s">
        <v>1024</v>
      </c>
      <c r="F127" s="1867">
        <v>116</v>
      </c>
      <c r="G127" s="1848">
        <f t="shared" si="62"/>
        <v>0</v>
      </c>
      <c r="H127" s="1848">
        <f t="shared" si="63"/>
        <v>116</v>
      </c>
      <c r="I127" s="1849">
        <f t="shared" si="64"/>
        <v>232</v>
      </c>
      <c r="J127" s="1850">
        <f t="shared" si="66"/>
        <v>1.07</v>
      </c>
      <c r="K127" s="1851">
        <f t="shared" ref="K127:K134" si="67">ROUNDDOWN(H127*J127,2)</f>
        <v>124.12</v>
      </c>
      <c r="L127" s="1851">
        <f t="shared" si="65"/>
        <v>248.24</v>
      </c>
      <c r="M127" s="1731"/>
      <c r="N127" s="1732"/>
    </row>
    <row r="128" spans="1:14" ht="19.149999999999999" customHeight="1">
      <c r="A128" s="1730"/>
      <c r="B128" s="1853" t="s">
        <v>1425</v>
      </c>
      <c r="C128" s="1845"/>
      <c r="D128" s="1846">
        <v>1</v>
      </c>
      <c r="E128" s="1847" t="s">
        <v>1108</v>
      </c>
      <c r="F128" s="1868">
        <v>947</v>
      </c>
      <c r="G128" s="1848">
        <f t="shared" si="62"/>
        <v>0</v>
      </c>
      <c r="H128" s="1848">
        <f t="shared" si="63"/>
        <v>947</v>
      </c>
      <c r="I128" s="1849">
        <f t="shared" si="64"/>
        <v>947</v>
      </c>
      <c r="J128" s="1850">
        <f t="shared" si="66"/>
        <v>1.07</v>
      </c>
      <c r="K128" s="1851">
        <f t="shared" si="67"/>
        <v>1013.29</v>
      </c>
      <c r="L128" s="1851">
        <f t="shared" si="65"/>
        <v>1013.29</v>
      </c>
      <c r="M128" s="1731"/>
      <c r="N128" s="1732"/>
    </row>
    <row r="129" spans="1:14" ht="19.149999999999999" customHeight="1">
      <c r="A129" s="1730"/>
      <c r="B129" s="1853" t="s">
        <v>1426</v>
      </c>
      <c r="C129" s="1845"/>
      <c r="D129" s="1854">
        <v>0.5</v>
      </c>
      <c r="E129" s="1855" t="s">
        <v>1427</v>
      </c>
      <c r="F129" s="1868">
        <v>586</v>
      </c>
      <c r="G129" s="1848">
        <f t="shared" si="62"/>
        <v>0</v>
      </c>
      <c r="H129" s="1848">
        <f t="shared" si="63"/>
        <v>586</v>
      </c>
      <c r="I129" s="1849">
        <f t="shared" si="64"/>
        <v>293</v>
      </c>
      <c r="J129" s="1850">
        <f t="shared" si="66"/>
        <v>1.07</v>
      </c>
      <c r="K129" s="1851">
        <f t="shared" si="67"/>
        <v>627.02</v>
      </c>
      <c r="L129" s="1851">
        <f t="shared" si="65"/>
        <v>313.51</v>
      </c>
      <c r="M129" s="1731"/>
      <c r="N129" s="1732"/>
    </row>
    <row r="130" spans="1:14" ht="19.149999999999999" customHeight="1">
      <c r="A130" s="1730"/>
      <c r="B130" s="1856"/>
      <c r="C130" s="1856"/>
      <c r="D130" s="1846"/>
      <c r="E130" s="1837"/>
      <c r="F130" s="1838">
        <f t="shared" ref="F130:F134" si="68">IF(D130&lt;=0,0,)</f>
        <v>0</v>
      </c>
      <c r="G130" s="1838">
        <f t="shared" si="62"/>
        <v>0</v>
      </c>
      <c r="H130" s="1839">
        <f>ROUND(IF(D130&lt;=0,0,(5140/1.07)),2)</f>
        <v>0</v>
      </c>
      <c r="I130" s="1840">
        <f t="shared" si="64"/>
        <v>0</v>
      </c>
      <c r="J130" s="1841">
        <f t="shared" si="66"/>
        <v>0</v>
      </c>
      <c r="K130" s="1842">
        <f t="shared" si="67"/>
        <v>0</v>
      </c>
      <c r="L130" s="1842">
        <f t="shared" si="65"/>
        <v>0</v>
      </c>
      <c r="M130" s="1731"/>
      <c r="N130" s="1732"/>
    </row>
    <row r="131" spans="1:14" ht="19.149999999999999" customHeight="1">
      <c r="A131" s="1730"/>
      <c r="B131" s="1856"/>
      <c r="C131" s="1857"/>
      <c r="D131" s="1846"/>
      <c r="E131" s="1837"/>
      <c r="F131" s="1838">
        <f t="shared" si="68"/>
        <v>0</v>
      </c>
      <c r="G131" s="1838">
        <f t="shared" si="62"/>
        <v>0</v>
      </c>
      <c r="H131" s="1839">
        <f>ROUND(IF(D131&lt;=0,0,(6970/1.07)),2)</f>
        <v>0</v>
      </c>
      <c r="I131" s="1840">
        <f t="shared" si="64"/>
        <v>0</v>
      </c>
      <c r="J131" s="1841">
        <f t="shared" si="66"/>
        <v>0</v>
      </c>
      <c r="K131" s="1842">
        <f t="shared" si="67"/>
        <v>0</v>
      </c>
      <c r="L131" s="1842">
        <f t="shared" si="65"/>
        <v>0</v>
      </c>
      <c r="M131" s="1731"/>
      <c r="N131" s="1732"/>
    </row>
    <row r="132" spans="1:14" ht="19.149999999999999" hidden="1" customHeight="1">
      <c r="A132" s="1730"/>
      <c r="B132" s="1856" t="s">
        <v>315</v>
      </c>
      <c r="C132" s="1857"/>
      <c r="D132" s="1846"/>
      <c r="E132" s="1837" t="s">
        <v>109</v>
      </c>
      <c r="F132" s="1838">
        <f t="shared" si="68"/>
        <v>0</v>
      </c>
      <c r="G132" s="1838">
        <f t="shared" si="62"/>
        <v>0</v>
      </c>
      <c r="H132" s="1839">
        <f>ROUND(IF(D132&lt;=0,0,(4630/1.07)),2)</f>
        <v>0</v>
      </c>
      <c r="I132" s="1840">
        <f t="shared" si="64"/>
        <v>0</v>
      </c>
      <c r="J132" s="1841">
        <f t="shared" si="66"/>
        <v>0</v>
      </c>
      <c r="K132" s="1842">
        <f t="shared" si="67"/>
        <v>0</v>
      </c>
      <c r="L132" s="1842">
        <f t="shared" si="65"/>
        <v>0</v>
      </c>
      <c r="M132" s="1731"/>
      <c r="N132" s="1732"/>
    </row>
    <row r="133" spans="1:14" ht="19.149999999999999" hidden="1" customHeight="1">
      <c r="A133" s="1730"/>
      <c r="B133" s="1856" t="s">
        <v>316</v>
      </c>
      <c r="C133" s="1857"/>
      <c r="D133" s="1852"/>
      <c r="E133" s="1837"/>
      <c r="F133" s="1838"/>
      <c r="G133" s="1838"/>
      <c r="H133" s="1839"/>
      <c r="I133" s="1840"/>
      <c r="J133" s="1841"/>
      <c r="K133" s="1842"/>
      <c r="L133" s="1842"/>
      <c r="M133" s="1731"/>
      <c r="N133" s="1732"/>
    </row>
    <row r="134" spans="1:14" ht="19.149999999999999" hidden="1" customHeight="1">
      <c r="A134" s="1730"/>
      <c r="B134" s="1856" t="s">
        <v>317</v>
      </c>
      <c r="C134" s="1857"/>
      <c r="D134" s="1846"/>
      <c r="E134" s="1837" t="s">
        <v>109</v>
      </c>
      <c r="F134" s="1838">
        <f t="shared" si="68"/>
        <v>0</v>
      </c>
      <c r="G134" s="1838">
        <f t="shared" si="62"/>
        <v>0</v>
      </c>
      <c r="H134" s="1839">
        <f>ROUND(IF(D134&lt;=0,0,(9200/1.07)),2)</f>
        <v>0</v>
      </c>
      <c r="I134" s="1840">
        <f t="shared" si="64"/>
        <v>0</v>
      </c>
      <c r="J134" s="1841">
        <f t="shared" si="66"/>
        <v>0</v>
      </c>
      <c r="K134" s="1842">
        <f t="shared" si="67"/>
        <v>0</v>
      </c>
      <c r="L134" s="1842">
        <f t="shared" si="65"/>
        <v>0</v>
      </c>
      <c r="M134" s="1731"/>
      <c r="N134" s="1732"/>
    </row>
    <row r="135" spans="1:14" ht="19.149999999999999" hidden="1" customHeight="1">
      <c r="A135" s="1730"/>
      <c r="B135" s="1856" t="s">
        <v>318</v>
      </c>
      <c r="C135" s="1857"/>
      <c r="D135" s="1836"/>
      <c r="E135" s="1837"/>
      <c r="F135" s="1838"/>
      <c r="G135" s="1838"/>
      <c r="H135" s="1840"/>
      <c r="I135" s="1840"/>
      <c r="J135" s="1841"/>
      <c r="K135" s="1842"/>
      <c r="L135" s="1842"/>
      <c r="M135" s="1731"/>
      <c r="N135" s="1732"/>
    </row>
    <row r="136" spans="1:14" ht="19.149999999999999" customHeight="1">
      <c r="A136" s="1806"/>
      <c r="B136" s="1858"/>
      <c r="C136" s="1859" t="s">
        <v>313</v>
      </c>
      <c r="D136" s="1860"/>
      <c r="E136" s="1861"/>
      <c r="F136" s="1862"/>
      <c r="G136" s="1862"/>
      <c r="H136" s="1863"/>
      <c r="I136" s="1864">
        <f>SUM(I124:I129)</f>
        <v>2322</v>
      </c>
      <c r="J136" s="1865"/>
      <c r="K136" s="1866"/>
      <c r="L136" s="1864">
        <f>SUM(L124:L129)</f>
        <v>2449.54</v>
      </c>
      <c r="M136" s="1807"/>
      <c r="N136" s="1808"/>
    </row>
    <row r="137" spans="1:14" ht="19.149999999999999" customHeight="1">
      <c r="A137" s="1653"/>
      <c r="B137" s="1809"/>
      <c r="C137" s="1809"/>
      <c r="D137" s="1922" t="s">
        <v>314</v>
      </c>
      <c r="E137" s="1923"/>
      <c r="F137" s="1923"/>
      <c r="G137" s="1923"/>
      <c r="H137" s="1924"/>
      <c r="I137" s="1810">
        <f>I121+I136</f>
        <v>450632.91738066095</v>
      </c>
      <c r="J137" s="1811"/>
      <c r="K137" s="1812"/>
      <c r="L137" s="1810">
        <f>L121+L136</f>
        <v>614035.29349069775</v>
      </c>
      <c r="M137" s="1770"/>
      <c r="N137" s="1775"/>
    </row>
    <row r="138" spans="1:14" ht="8.4499999999999993" customHeight="1">
      <c r="C138" s="1813"/>
    </row>
    <row r="139" spans="1:14" ht="24" customHeight="1">
      <c r="C139" s="1813"/>
    </row>
    <row r="140" spans="1:14" ht="19.149999999999999" customHeight="1">
      <c r="B140" s="1814" t="s">
        <v>1111</v>
      </c>
      <c r="C140" s="1814" t="s">
        <v>297</v>
      </c>
      <c r="D140" s="1614" t="s">
        <v>1440</v>
      </c>
      <c r="F140" s="1614"/>
      <c r="G140" s="1815"/>
      <c r="H140" s="1696" t="s">
        <v>1050</v>
      </c>
      <c r="J140" s="1829" t="s">
        <v>1340</v>
      </c>
      <c r="K140" s="1829"/>
      <c r="L140" s="1823" t="s">
        <v>1441</v>
      </c>
    </row>
    <row r="141" spans="1:14" ht="19.149999999999999" customHeight="1">
      <c r="B141" s="1817"/>
      <c r="C141" s="1814" t="s">
        <v>1448</v>
      </c>
      <c r="D141" s="1614"/>
      <c r="F141" s="1818"/>
      <c r="G141" s="1816"/>
      <c r="H141" s="1816"/>
      <c r="J141" s="1878" t="s">
        <v>1418</v>
      </c>
      <c r="K141" s="1830"/>
      <c r="L141" s="1830"/>
      <c r="M141" s="1816"/>
    </row>
    <row r="142" spans="1:14" ht="19.149999999999999" customHeight="1">
      <c r="B142" s="1820"/>
      <c r="C142" s="1831" t="s">
        <v>1208</v>
      </c>
      <c r="D142" s="1816"/>
      <c r="F142" s="1614"/>
      <c r="G142" s="1815"/>
      <c r="H142" s="1821"/>
      <c r="I142" s="1829"/>
      <c r="J142" s="1879" t="s">
        <v>972</v>
      </c>
      <c r="K142" s="1706"/>
      <c r="L142" s="1706"/>
      <c r="M142" s="1816"/>
    </row>
    <row r="143" spans="1:14" ht="24.75" customHeight="1">
      <c r="F143" s="1704"/>
      <c r="G143" s="1815"/>
    </row>
    <row r="144" spans="1:14" ht="19.149999999999999" customHeight="1">
      <c r="B144" s="1814" t="s">
        <v>1111</v>
      </c>
      <c r="C144" s="1814" t="s">
        <v>297</v>
      </c>
      <c r="D144" s="1614" t="s">
        <v>1441</v>
      </c>
      <c r="F144" s="1704"/>
      <c r="G144" s="1816"/>
      <c r="H144" s="1696"/>
      <c r="J144" s="1829"/>
      <c r="K144" s="1829"/>
      <c r="L144" s="1823"/>
      <c r="M144" s="1816"/>
    </row>
    <row r="145" spans="2:15" ht="19.149999999999999" customHeight="1">
      <c r="B145" s="1817"/>
      <c r="C145" s="1704" t="s">
        <v>1449</v>
      </c>
      <c r="D145" s="1614"/>
      <c r="E145" s="1615" t="s">
        <v>1185</v>
      </c>
      <c r="F145" s="1816"/>
      <c r="G145" s="1816"/>
      <c r="H145" s="1816"/>
      <c r="J145" s="1830"/>
      <c r="K145" s="1830"/>
      <c r="L145" s="1830"/>
    </row>
    <row r="146" spans="2:15" ht="19.149999999999999" customHeight="1">
      <c r="B146" s="1814"/>
      <c r="C146" s="1704" t="s">
        <v>1450</v>
      </c>
      <c r="D146" s="1614"/>
      <c r="F146" s="1816"/>
      <c r="G146" s="1816"/>
      <c r="H146" s="1821"/>
      <c r="I146" s="1829"/>
      <c r="J146" s="1706"/>
      <c r="K146" s="1706"/>
      <c r="L146" s="1706"/>
      <c r="M146" s="1819"/>
    </row>
    <row r="147" spans="2:15" ht="19.149999999999999" customHeight="1">
      <c r="B147" s="1817"/>
      <c r="C147" s="1814"/>
      <c r="D147" s="1614"/>
      <c r="F147" s="1816"/>
      <c r="G147" s="1816"/>
      <c r="H147" s="1816"/>
      <c r="I147" s="1927"/>
      <c r="J147" s="1927"/>
      <c r="K147" s="1927"/>
      <c r="L147" s="1927"/>
      <c r="M147" s="1816"/>
    </row>
    <row r="148" spans="2:15" ht="19.149999999999999" customHeight="1">
      <c r="B148" s="1615"/>
      <c r="C148" s="1814"/>
      <c r="E148" s="1614"/>
      <c r="F148" s="1816"/>
      <c r="G148" s="1816"/>
      <c r="H148" s="1816"/>
      <c r="I148" s="1928"/>
      <c r="J148" s="1928"/>
      <c r="K148" s="1928"/>
      <c r="L148" s="1928"/>
      <c r="M148" s="1816"/>
    </row>
    <row r="149" spans="2:15" ht="19.149999999999999" customHeight="1">
      <c r="B149" s="1615"/>
      <c r="C149" s="1816"/>
      <c r="D149" s="1816"/>
      <c r="E149" s="1816"/>
      <c r="F149" s="1816"/>
      <c r="G149" s="1816"/>
      <c r="H149" s="1816"/>
      <c r="M149" s="1816"/>
      <c r="O149" s="1822"/>
    </row>
  </sheetData>
  <mergeCells count="42">
    <mergeCell ref="G66:H66"/>
    <mergeCell ref="C69:N69"/>
    <mergeCell ref="K72:L72"/>
    <mergeCell ref="M81:N81"/>
    <mergeCell ref="M79:N79"/>
    <mergeCell ref="M80:N80"/>
    <mergeCell ref="C68:N68"/>
    <mergeCell ref="J72:J73"/>
    <mergeCell ref="M56:N56"/>
    <mergeCell ref="M57:N57"/>
    <mergeCell ref="B10:C10"/>
    <mergeCell ref="B17:C17"/>
    <mergeCell ref="M22:N22"/>
    <mergeCell ref="B26:C26"/>
    <mergeCell ref="M46:N46"/>
    <mergeCell ref="I147:L147"/>
    <mergeCell ref="I148:L148"/>
    <mergeCell ref="A63:N63"/>
    <mergeCell ref="A65:N65"/>
    <mergeCell ref="B122:C122"/>
    <mergeCell ref="B123:C123"/>
    <mergeCell ref="D137:H137"/>
    <mergeCell ref="B111:C111"/>
    <mergeCell ref="M84:N84"/>
    <mergeCell ref="A72:A73"/>
    <mergeCell ref="B72:C73"/>
    <mergeCell ref="M72:N73"/>
    <mergeCell ref="D72:D73"/>
    <mergeCell ref="E72:E73"/>
    <mergeCell ref="F72:H72"/>
    <mergeCell ref="C67:N67"/>
    <mergeCell ref="A1:N1"/>
    <mergeCell ref="A8:A9"/>
    <mergeCell ref="B8:C9"/>
    <mergeCell ref="D8:D9"/>
    <mergeCell ref="E8:E9"/>
    <mergeCell ref="F8:H8"/>
    <mergeCell ref="J8:J9"/>
    <mergeCell ref="K8:L8"/>
    <mergeCell ref="M8:N9"/>
    <mergeCell ref="C3:N3"/>
    <mergeCell ref="C5:N5"/>
  </mergeCells>
  <printOptions horizontalCentered="1"/>
  <pageMargins left="0" right="0" top="0.59055118110236227" bottom="0.39370078740157483" header="0" footer="0"/>
  <pageSetup paperSize="9" scale="65" fitToHeight="2" orientation="portrait" blackAndWhite="1" horizontalDpi="4294967292" verticalDpi="360" r:id="rId1"/>
  <headerFooter alignWithMargins="0"/>
  <rowBreaks count="1" manualBreakCount="1">
    <brk id="63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20</vt:i4>
      </vt:variant>
      <vt:variant>
        <vt:lpstr>ช่วงที่มีชื่อ</vt:lpstr>
      </vt:variant>
      <vt:variant>
        <vt:i4>12</vt:i4>
      </vt:variant>
    </vt:vector>
  </HeadingPairs>
  <TitlesOfParts>
    <vt:vector size="32" baseType="lpstr">
      <vt:lpstr>S2</vt:lpstr>
      <vt:lpstr>S2-2</vt:lpstr>
      <vt:lpstr>S3</vt:lpstr>
      <vt:lpstr>ขนาดท่อ</vt:lpstr>
      <vt:lpstr>1.ข้อมูล</vt:lpstr>
      <vt:lpstr>2.รายการคำนวณ</vt:lpstr>
      <vt:lpstr>คิดปริมาณ</vt:lpstr>
      <vt:lpstr>Sheet3</vt:lpstr>
      <vt:lpstr>3.ปร.4 (2)</vt:lpstr>
      <vt:lpstr>6.แบบ Pavement </vt:lpstr>
      <vt:lpstr>Sheet1</vt:lpstr>
      <vt:lpstr>4.ปร.5  (2)</vt:lpstr>
      <vt:lpstr>บัญชีข้อมูล</vt:lpstr>
      <vt:lpstr>แบบสรุปราคากลาง ปร.6</vt:lpstr>
      <vt:lpstr>ค่างานต้นทุน</vt:lpstr>
      <vt:lpstr>ราง</vt:lpstr>
      <vt:lpstr>ราคาวัสดุ</vt:lpstr>
      <vt:lpstr>รางระบายน้ำ</vt:lpstr>
      <vt:lpstr>บ่อพัก</vt:lpstr>
      <vt:lpstr>Sheet2</vt:lpstr>
      <vt:lpstr>'1.ข้อมูล'!Print_Area</vt:lpstr>
      <vt:lpstr>'2.รายการคำนวณ'!Print_Area</vt:lpstr>
      <vt:lpstr>'3.ปร.4 (2)'!Print_Area</vt:lpstr>
      <vt:lpstr>'4.ปร.5  (2)'!Print_Area</vt:lpstr>
      <vt:lpstr>'6.แบบ Pavement '!Print_Area</vt:lpstr>
      <vt:lpstr>Sheet2!Print_Area</vt:lpstr>
      <vt:lpstr>Sheet3!Print_Area</vt:lpstr>
      <vt:lpstr>ค่างานต้นทุน!Print_Area</vt:lpstr>
      <vt:lpstr>คิดปริมาณ!Print_Area</vt:lpstr>
      <vt:lpstr>บ่อพัก!Print_Area</vt:lpstr>
      <vt:lpstr>ราง!Print_Area</vt:lpstr>
      <vt:lpstr>รางระบายน้ำ!Print_Area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007</dc:creator>
  <cp:lastModifiedBy>USER</cp:lastModifiedBy>
  <cp:lastPrinted>2024-04-17T07:57:47Z</cp:lastPrinted>
  <dcterms:created xsi:type="dcterms:W3CDTF">1999-01-11T08:20:28Z</dcterms:created>
  <dcterms:modified xsi:type="dcterms:W3CDTF">2024-04-17T08:26:49Z</dcterms:modified>
</cp:coreProperties>
</file>